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NH MỤC" sheetId="1" r:id="rId4"/>
    <sheet state="visible" name="NHẬP KHO" sheetId="2" r:id="rId5"/>
    <sheet state="visible" name="XUẤT KHO" sheetId="3" r:id="rId6"/>
    <sheet state="visible" name="TỒN KHO" sheetId="4" r:id="rId7"/>
    <sheet state="visible" name="BÁO CÁO" sheetId="5" r:id="rId8"/>
    <sheet state="visible" name="DASHBOARD" sheetId="6" r:id="rId9"/>
    <sheet state="visible" name="HƯỚNG DẪN" sheetId="7" r:id="rId10"/>
  </sheets>
  <definedNames/>
  <calcPr/>
  <extLst>
    <ext uri="GoogleSheetsCustomDataVersion2">
      <go:sheetsCustomData xmlns:go="http://customooxmlschemas.google.com/" r:id="rId11" roundtripDataChecksum="Cikno4hD0tHo90R9pIUS4VXOhM1gnpxMEHxy/XLIDhQ="/>
    </ext>
  </extLst>
</workbook>
</file>

<file path=xl/sharedStrings.xml><?xml version="1.0" encoding="utf-8"?>
<sst xmlns="http://schemas.openxmlformats.org/spreadsheetml/2006/main" count="409" uniqueCount="208">
  <si>
    <t>DANH MỤC HÀNG HÓA / VẬT TƯ</t>
  </si>
  <si>
    <t>PHIẾU XUẤT KHO – NHẬP DỮ LIỆU HÀNG NGÀY</t>
  </si>
  <si>
    <t>PHIẾU NHẬP KHO – NHẬP DỮ LIỆU HÀNG NGÀY</t>
  </si>
  <si>
    <t>BÁO CÁO TỒN KHO – TỰ ĐỘNG CẬP NHẬT TỪ NHẬP / XUẤT KHO</t>
  </si>
  <si>
    <t>Hướng dẫn: Nhập Ngày, Mã Hàng, Số Lượng, Đơn Giá (để trống → tự lấy từ DANH MỤC). Các cột còn lại tự tính.</t>
  </si>
  <si>
    <t>Trung tâm quản lý kho – Cập nhật dữ liệu tại đây trước khi sử dụng các sheet khác</t>
  </si>
  <si>
    <t>Hướng dẫn: Nhập Ngày, Mã Hàng, Số Lượng. Đơn Giá / Tên Hàng / Thành Tiền tự tính từ DANH MỤC.</t>
  </si>
  <si>
    <t>Tháng 06/2025  |  Dữ liệu tự tính từ sheets NHẬP KHO và XUẤT KHO  |  Cảnh báo màu đỏ khi tồn &lt; Tối Thiểu</t>
  </si>
  <si>
    <t>STT</t>
  </si>
  <si>
    <t>Mã Hàng</t>
  </si>
  <si>
    <t>Ngày Xuất</t>
  </si>
  <si>
    <t>Tên Hàng Hóa</t>
  </si>
  <si>
    <t>Số Phiếu</t>
  </si>
  <si>
    <t>Ngày Nhập</t>
  </si>
  <si>
    <t>Nhóm Hàng</t>
  </si>
  <si>
    <t>Đơn Vị Tính</t>
  </si>
  <si>
    <t>Đơn Giá Nhập
(VNĐ)</t>
  </si>
  <si>
    <t>Đơn Giá Xuất
(VNĐ)</t>
  </si>
  <si>
    <t>Đơn Vị</t>
  </si>
  <si>
    <t>Tồn Kho
Tối Thiểu</t>
  </si>
  <si>
    <t>Số Lượng</t>
  </si>
  <si>
    <t>Tồn Kho
Tối Đa</t>
  </si>
  <si>
    <t>Đơn Giá
(VNĐ)</t>
  </si>
  <si>
    <t>Vị Trí Kho</t>
  </si>
  <si>
    <t>Nhà Cung Cấp</t>
  </si>
  <si>
    <t>Thành Tiền
(VNĐ)</t>
  </si>
  <si>
    <t>ĐVT</t>
  </si>
  <si>
    <t>Ghi Chú</t>
  </si>
  <si>
    <t>Bộ Phận Nhận</t>
  </si>
  <si>
    <t>Người Xuất</t>
  </si>
  <si>
    <t>Tồn Đầu Kỳ</t>
  </si>
  <si>
    <t>HH001</t>
  </si>
  <si>
    <t>Máy tính xách tay Dell</t>
  </si>
  <si>
    <t>Tổng Nhập</t>
  </si>
  <si>
    <t>Điện tử</t>
  </si>
  <si>
    <t>Cái</t>
  </si>
  <si>
    <t>Tổng Xuất</t>
  </si>
  <si>
    <t>Người Nhập</t>
  </si>
  <si>
    <t>Tồn Cuối Kỳ</t>
  </si>
  <si>
    <t>Tồn Tối Thiểu</t>
  </si>
  <si>
    <t>Tồn Tối Đa</t>
  </si>
  <si>
    <t>XK0001</t>
  </si>
  <si>
    <t>A-01</t>
  </si>
  <si>
    <t>Trạng Thái</t>
  </si>
  <si>
    <t>HH003</t>
  </si>
  <si>
    <t>Dell Vietnam</t>
  </si>
  <si>
    <t>HH002</t>
  </si>
  <si>
    <t>Chuột không dây Logitech</t>
  </si>
  <si>
    <t>NK0001</t>
  </si>
  <si>
    <t>A-02</t>
  </si>
  <si>
    <t>Logitech VN</t>
  </si>
  <si>
    <t>Bàn phím cơ Corsair</t>
  </si>
  <si>
    <t>A-03</t>
  </si>
  <si>
    <t>Corsair VN</t>
  </si>
  <si>
    <t>HH004</t>
  </si>
  <si>
    <t>Màn hình Samsung 24"</t>
  </si>
  <si>
    <t>Phòng Hành Chính</t>
  </si>
  <si>
    <t>Admin</t>
  </si>
  <si>
    <t>A-04</t>
  </si>
  <si>
    <t>Samsung VN</t>
  </si>
  <si>
    <t>HH005</t>
  </si>
  <si>
    <t>XK0002</t>
  </si>
  <si>
    <t>Tai nghe Sony WH-1000</t>
  </si>
  <si>
    <t>HH007</t>
  </si>
  <si>
    <t>A-05</t>
  </si>
  <si>
    <t>Sony VN</t>
  </si>
  <si>
    <t>HH006</t>
  </si>
  <si>
    <t>Giấy A4 Double A (ream)</t>
  </si>
  <si>
    <t>Văn phòng phẩm</t>
  </si>
  <si>
    <t>XK0003</t>
  </si>
  <si>
    <t>Ream</t>
  </si>
  <si>
    <t>NK0002</t>
  </si>
  <si>
    <t>B-01</t>
  </si>
  <si>
    <t>Double A</t>
  </si>
  <si>
    <t>Bút bi Thiên Long</t>
  </si>
  <si>
    <t>Hộp</t>
  </si>
  <si>
    <t>XK0004</t>
  </si>
  <si>
    <t>B-02</t>
  </si>
  <si>
    <t>Thiên Long</t>
  </si>
  <si>
    <t>HH008</t>
  </si>
  <si>
    <t>Hộp đựng tài liệu</t>
  </si>
  <si>
    <t>Phòng Kinh Doanh</t>
  </si>
  <si>
    <t>B-03</t>
  </si>
  <si>
    <t>Nội địa</t>
  </si>
  <si>
    <t>XK0005</t>
  </si>
  <si>
    <t>HH009</t>
  </si>
  <si>
    <t>Mực in HP 85A</t>
  </si>
  <si>
    <t>NK0003</t>
  </si>
  <si>
    <t>A-06</t>
  </si>
  <si>
    <t>HP Vietnam</t>
  </si>
  <si>
    <t>HH010</t>
  </si>
  <si>
    <t>USB Kingston 64GB</t>
  </si>
  <si>
    <t>XK0006</t>
  </si>
  <si>
    <t>A-07</t>
  </si>
  <si>
    <t>Kingston VN</t>
  </si>
  <si>
    <t>HH011</t>
  </si>
  <si>
    <t>Bàn làm việc gỗ</t>
  </si>
  <si>
    <t>Nội thất</t>
  </si>
  <si>
    <t>NK0004</t>
  </si>
  <si>
    <t>XK0007</t>
  </si>
  <si>
    <t>C-01</t>
  </si>
  <si>
    <t>Nội thất ABC</t>
  </si>
  <si>
    <t>HH012</t>
  </si>
  <si>
    <t>Ghế văn phòng</t>
  </si>
  <si>
    <t>Ban Giám Đốc</t>
  </si>
  <si>
    <t>C-02</t>
  </si>
  <si>
    <t>XK0008</t>
  </si>
  <si>
    <t>HH013</t>
  </si>
  <si>
    <t>Tủ đựng hồ sơ sắt</t>
  </si>
  <si>
    <t>NK0005</t>
  </si>
  <si>
    <t>C-03</t>
  </si>
  <si>
    <t>Nội thất XYZ</t>
  </si>
  <si>
    <t>HH014</t>
  </si>
  <si>
    <t>Bảng trắng từ tính</t>
  </si>
  <si>
    <t>XK0009</t>
  </si>
  <si>
    <t>C-04</t>
  </si>
  <si>
    <t>HH015</t>
  </si>
  <si>
    <t>Nước uống đóng bình</t>
  </si>
  <si>
    <t>Tiêu dùng</t>
  </si>
  <si>
    <t>Bình</t>
  </si>
  <si>
    <t>Phòng IT</t>
  </si>
  <si>
    <t>NK0006</t>
  </si>
  <si>
    <t>D-01</t>
  </si>
  <si>
    <t>Lavie</t>
  </si>
  <si>
    <t>XK0010</t>
  </si>
  <si>
    <t>XK0011</t>
  </si>
  <si>
    <t>NK0007</t>
  </si>
  <si>
    <t>XK0012</t>
  </si>
  <si>
    <t>NK0008</t>
  </si>
  <si>
    <t>XK0013</t>
  </si>
  <si>
    <t>Phòng Kế Toán</t>
  </si>
  <si>
    <t>XK0014</t>
  </si>
  <si>
    <t>TỔNG CỘNG XUẤT KHO</t>
  </si>
  <si>
    <t>NK0009</t>
  </si>
  <si>
    <t>NK0010</t>
  </si>
  <si>
    <t>NK0011</t>
  </si>
  <si>
    <t>NK0012</t>
  </si>
  <si>
    <t>NK0013</t>
  </si>
  <si>
    <t>NK0014</t>
  </si>
  <si>
    <t>NK0015</t>
  </si>
  <si>
    <t>NK0016</t>
  </si>
  <si>
    <t>NK0017</t>
  </si>
  <si>
    <t>TỔNG CỘNG</t>
  </si>
  <si>
    <t>NK0018</t>
  </si>
  <si>
    <t>BÁO CÁO TỔNG HỢP XUẤT NHẬP TỒN KHO</t>
  </si>
  <si>
    <t>NK0019</t>
  </si>
  <si>
    <t>Tháng 06/2025  |  Số liệu tự động từ các sheet dữ liệu</t>
  </si>
  <si>
    <t>Tổng Giá Trị Nhập</t>
  </si>
  <si>
    <t>Tổng Giá Trị Xuất</t>
  </si>
  <si>
    <t>Tổng Tồn Cuối Kỳ
(Số Lượng)</t>
  </si>
  <si>
    <t>Số Mặt Hàng
Sắp Hết / Hết</t>
  </si>
  <si>
    <t>NK0020</t>
  </si>
  <si>
    <t>TỔNG CỘNG NHẬP KHO</t>
  </si>
  <si>
    <t>▼ xem chi tiết bên dưới</t>
  </si>
  <si>
    <t>TỔNG HỢP THEO NHÓM HÀNG</t>
  </si>
  <si>
    <t>Số Mặt Hàng</t>
  </si>
  <si>
    <t>Tổng Nhập (SL)</t>
  </si>
  <si>
    <t>Tổng Xuất (SL)</t>
  </si>
  <si>
    <t>Tồn Cuối (SL)</t>
  </si>
  <si>
    <t>GT Nhập (VNĐ)</t>
  </si>
  <si>
    <t>GT Xuất (VNĐ)</t>
  </si>
  <si>
    <t>Trạng Thái Tổng</t>
  </si>
  <si>
    <t>TỔNG</t>
  </si>
  <si>
    <t>⚠️  CẢNH BÁO HÀNG SẮP HẾT / HẾT KHO</t>
  </si>
  <si>
    <t>HƯỚNG DẪN SỬ DỤNG HỆ THỐNG QUẢN LÝ XUẤT NHẬP TỒN KHO</t>
  </si>
  <si>
    <t>Thiếu Hụt</t>
  </si>
  <si>
    <t>Vị Trí</t>
  </si>
  <si>
    <t>1. CẤU TRÚC FILE – 6 SHEET CHÍNH</t>
  </si>
  <si>
    <t>📋 DANH MỤC  — Nhập toàn bộ danh sách hàng hóa, đơn giá, tồn min/max</t>
  </si>
  <si>
    <t>📥 NHẬP KHO  — Nhập phiếu nhập kho hàng ngày (Ngày, Mã hàng, Số lượng, Đơn giá)</t>
  </si>
  <si>
    <t>📤 XUẤT KHO  — Nhập phiếu xuất kho hàng ngày (Ngày, Mã hàng, Số lượng, Bộ phận nhận)</t>
  </si>
  <si>
    <t>📊 TỒN KHO   — Tự tính tồn cuối kỳ, cảnh báo sắp hết / hết / quá tồn</t>
  </si>
  <si>
    <t>📑 BÁO CÁO  — Tổng hợp theo nhóm hàng, bảng cảnh báo, KPI</t>
  </si>
  <si>
    <t>📈 DASHBOARD — Biểu đồ trực quan tự cập nhật</t>
  </si>
  <si>
    <t>2. QUY TRÌNH SỬ DỤNG</t>
  </si>
  <si>
    <t>Bước 1 — Cập nhật DANH MỤC: Thêm/sửa mã hàng, tên, đơn giá, tồn min/max, vị trí</t>
  </si>
  <si>
    <t>Bước 2 — Nhập phiếu NHẬP KHO: Điền ngày, mã hàng, SL, đơn giá → các ô khác tự tính</t>
  </si>
  <si>
    <t>Bước 3 — Nhập phiếu XUẤT KHO: Điền ngày, mã hàng, SL, bộ phận → tự tính</t>
  </si>
  <si>
    <t>Bước 4 — Kiểm tra TỒN KHO: Xem tồn cuối kỳ và cảnh báo màu sắc</t>
  </si>
  <si>
    <t>Bước 5 — Xem BÁO CÁO &amp; DASHBOARD: Tất cả tự cập nhật, không cần nhập thêm</t>
  </si>
  <si>
    <t>3. BẢNG MÀU CẢNH BÁO TỒN KHO</t>
  </si>
  <si>
    <t>🟢 Bình thường  — Tồn nằm trong khoảng [Tối Thiểu → Tối Đa]</t>
  </si>
  <si>
    <t>🟡 Sắp hết      — Tồn cuối &lt; Tồn Tối Thiểu (cần đặt hàng)</t>
  </si>
  <si>
    <t>🔴 Hết hàng     — Tồn cuối ≤ 0 (khẩn cấp)</t>
  </si>
  <si>
    <t>🔵 Quá tồn      — Tồn cuối &gt; Tồn Tối Đa (xem xét giảm nhập)</t>
  </si>
  <si>
    <t>4. LƯU Ý QUAN TRỌNG</t>
  </si>
  <si>
    <t>• Mã hàng phải KHỚP CHÍNH XÁC giữa DANH MỤC, NHẬP KHO và XUẤT KHO</t>
  </si>
  <si>
    <t>• Không xóa hàng tiêu đề (hàng 1–3) trên bất kỳ sheet nào</t>
  </si>
  <si>
    <t>• Tồn Đầu Kỳ tại sheet TỒN KHO cần nhập thủ công khi bắt đầu tháng mới</t>
  </si>
  <si>
    <t>• Bấm Ctrl+Alt+F9 để buộc Excel tính lại toàn bộ công thức</t>
  </si>
  <si>
    <t>• Lưu file định kỳ, đặt mật khẩu nếu cần bảo mật</t>
  </si>
  <si>
    <r>
      <rPr>
        <sz val="15.0"/>
      </rPr>
      <t xml:space="preserve">Excel phù hợp khi quy mô kho còn đơn giản. Khi số lượng hàng hóa, kho và giao dịch tăng lên, ARITO giúp doanh nghiệp quản lý dữ liệu tập trung và đồng bộ hơn.
</t>
    </r>
    <r>
      <rPr>
        <b/>
        <color rgb="FF1155CC"/>
        <sz val="15.0"/>
        <u/>
      </rPr>
      <t>Khám phá giải pháp quản lý kho ARITO</t>
    </r>
  </si>
  <si>
    <t>📊  DASHBOARD QUẢN LÝ KHO  –  THÁNG 06/2025</t>
  </si>
  <si>
    <t>Tên</t>
  </si>
  <si>
    <t>Tồn Cuối</t>
  </si>
  <si>
    <t>Nhập</t>
  </si>
  <si>
    <t>Xuất</t>
  </si>
  <si>
    <t>Nhóm</t>
  </si>
  <si>
    <t>Tồn</t>
  </si>
  <si>
    <t>GT Nhập</t>
  </si>
  <si>
    <t>GT Xuất</t>
  </si>
  <si>
    <t>Trung Tâm Kho ABC  |  Dữ liệu liên kết tự động – Cập nhật khi nhập dữ liệu vào NHẬP KHO / XUẤT KHO</t>
  </si>
  <si>
    <t>Tổng SKU</t>
  </si>
  <si>
    <t>GT Nhập Tháng</t>
  </si>
  <si>
    <t>GT Xuất Tháng</t>
  </si>
  <si>
    <t>Hàng Sắp Hết</t>
  </si>
  <si>
    <t>Hàng Hết Kho</t>
  </si>
  <si>
    <t>Hàng Quá Tồn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</si>
</sst>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29">
    <font>
      <sz val="11.0"/>
      <color theme="1"/>
      <name val="Calibri"/>
      <scheme val="minor"/>
    </font>
    <font>
      <b/>
      <sz val="15.0"/>
      <color rgb="FFFFFFFF"/>
      <name val="Arial"/>
    </font>
    <font/>
    <font>
      <sz val="9.0"/>
      <color rgb="FFD48100"/>
      <name val="Arial"/>
    </font>
    <font>
      <sz val="10.0"/>
      <color rgb="FFD48100"/>
      <name val="Arial"/>
    </font>
    <font>
      <b/>
      <sz val="10.0"/>
      <color rgb="FFFFFFFF"/>
      <name val="Arial"/>
    </font>
    <font>
      <sz val="10.0"/>
      <color rgb="FF000000"/>
      <name val="Arial"/>
    </font>
    <font>
      <sz val="10.0"/>
      <color rgb="FFC00000"/>
      <name val="Arial"/>
    </font>
    <font>
      <sz val="11.0"/>
      <color theme="1"/>
      <name val="Calibri"/>
    </font>
    <font>
      <sz val="10.0"/>
      <color rgb="FF00695C"/>
      <name val="Arial"/>
    </font>
    <font>
      <sz val="10.0"/>
      <color rgb="FF1F4E79"/>
      <name val="Arial"/>
    </font>
    <font>
      <b/>
      <sz val="10.0"/>
      <color rgb="FF1F4E79"/>
      <name val="Arial"/>
    </font>
    <font>
      <b/>
      <sz val="11.0"/>
      <color rgb="FFFFFFFF"/>
      <name val="Arial"/>
    </font>
    <font>
      <b/>
      <sz val="16.0"/>
      <color rgb="FFFFFFFF"/>
      <name val="Arial"/>
    </font>
    <font>
      <b/>
      <sz val="20.0"/>
      <color rgb="FF1E5C2E"/>
      <name val="Arial"/>
    </font>
    <font>
      <b/>
      <sz val="20.0"/>
      <color rgb="FFC00000"/>
      <name val="Arial"/>
    </font>
    <font>
      <b/>
      <sz val="20.0"/>
      <color rgb="FF00695C"/>
      <name val="Arial"/>
    </font>
    <font>
      <b/>
      <sz val="20.0"/>
      <color rgb="FFD48100"/>
      <name val="Arial"/>
    </font>
    <font>
      <sz val="8.0"/>
      <color rgb="FF595959"/>
      <name val="Arial"/>
    </font>
    <font>
      <b/>
      <sz val="13.0"/>
      <color rgb="FFFFFFFF"/>
      <name val="Arial"/>
    </font>
    <font>
      <u/>
      <sz val="15.0"/>
      <color rgb="FF0000FF"/>
    </font>
    <font>
      <b/>
      <sz val="18.0"/>
      <color rgb="FFFFFFFF"/>
      <name val="Arial"/>
    </font>
    <font>
      <color theme="1"/>
      <name val="Calibri"/>
    </font>
    <font>
      <b/>
      <sz val="18.0"/>
      <color rgb="FF1F4E79"/>
      <name val="Arial"/>
    </font>
    <font>
      <b/>
      <sz val="18.0"/>
      <color rgb="FF1E5C2E"/>
      <name val="Arial"/>
    </font>
    <font>
      <b/>
      <sz val="18.0"/>
      <color rgb="FFC00000"/>
      <name val="Arial"/>
    </font>
    <font>
      <b/>
      <sz val="18.0"/>
      <color rgb="FF00695C"/>
      <name val="Arial"/>
    </font>
    <font>
      <b/>
      <sz val="18.0"/>
      <color rgb="FFE07B00"/>
      <name val="Arial"/>
    </font>
    <font>
      <b/>
      <sz val="18.0"/>
      <color rgb="FF5B2C6F"/>
      <name val="Arial"/>
    </font>
  </fonts>
  <fills count="17">
    <fill>
      <patternFill patternType="none"/>
    </fill>
    <fill>
      <patternFill patternType="lightGray"/>
    </fill>
    <fill>
      <patternFill patternType="solid">
        <fgColor rgb="FF0D2137"/>
        <bgColor rgb="FF0D2137"/>
      </patternFill>
    </fill>
    <fill>
      <patternFill patternType="solid">
        <fgColor rgb="FFC00000"/>
        <bgColor rgb="FFC00000"/>
      </patternFill>
    </fill>
    <fill>
      <patternFill patternType="solid">
        <fgColor rgb="FF1F4E79"/>
        <bgColor rgb="FF1F4E79"/>
      </patternFill>
    </fill>
    <fill>
      <patternFill patternType="solid">
        <fgColor rgb="FF1E5C2E"/>
        <bgColor rgb="FF1E5C2E"/>
      </patternFill>
    </fill>
    <fill>
      <patternFill patternType="solid">
        <fgColor rgb="FF00695C"/>
        <bgColor rgb="FF00695C"/>
      </patternFill>
    </fill>
    <fill>
      <patternFill patternType="solid">
        <fgColor rgb="FFFFFFFF"/>
        <bgColor rgb="FFFFFFFF"/>
      </patternFill>
    </fill>
    <fill>
      <patternFill patternType="solid">
        <fgColor rgb="FFFCE4D6"/>
        <bgColor rgb="FFFCE4D6"/>
      </patternFill>
    </fill>
    <fill>
      <patternFill patternType="solid">
        <fgColor rgb="FFE2EFDA"/>
        <bgColor rgb="FFE2EFDA"/>
      </patternFill>
    </fill>
    <fill>
      <patternFill patternType="solid">
        <fgColor rgb="FFF2F2F2"/>
        <bgColor rgb="FFF2F2F2"/>
      </patternFill>
    </fill>
    <fill>
      <patternFill patternType="solid">
        <fgColor rgb="FFD0F0EB"/>
        <bgColor rgb="FFD0F0EB"/>
      </patternFill>
    </fill>
    <fill>
      <patternFill patternType="solid">
        <fgColor rgb="FFD48100"/>
        <bgColor rgb="FFD48100"/>
      </patternFill>
    </fill>
    <fill>
      <patternFill patternType="solid">
        <fgColor rgb="FF2E75B6"/>
        <bgColor rgb="FF2E75B6"/>
      </patternFill>
    </fill>
    <fill>
      <patternFill patternType="solid">
        <fgColor rgb="FFEAD9F5"/>
        <bgColor rgb="FFEAD9F5"/>
      </patternFill>
    </fill>
    <fill>
      <patternFill patternType="solid">
        <fgColor rgb="FFE07B00"/>
        <bgColor rgb="FFE07B00"/>
      </patternFill>
    </fill>
    <fill>
      <patternFill patternType="solid">
        <fgColor rgb="FF5B2C6F"/>
        <bgColor rgb="FF5B2C6F"/>
      </patternFill>
    </fill>
  </fills>
  <borders count="9">
    <border/>
    <border>
      <left/>
      <top/>
      <bottom/>
    </border>
    <border>
      <top/>
      <bottom/>
    </border>
    <border>
      <left style="thin">
        <color rgb="FFAAAAAA"/>
      </left>
      <right style="thin">
        <color rgb="FFAAAAAA"/>
      </right>
      <top style="thin">
        <color rgb="FFAAAAAA"/>
      </top>
      <bottom style="thin">
        <color rgb="FFAAAAAA"/>
      </bottom>
    </border>
    <border>
      <left style="thin">
        <color rgb="FFAAAAAA"/>
      </left>
      <top style="thin">
        <color rgb="FFAAAAAA"/>
      </top>
      <bottom style="thin">
        <color rgb="FFAAAAAA"/>
      </bottom>
    </border>
    <border>
      <top style="thin">
        <color rgb="FFAAAAAA"/>
      </top>
      <bottom style="thin">
        <color rgb="FFAAAAAA"/>
      </bottom>
    </border>
    <border>
      <left/>
      <top/>
    </border>
    <border>
      <top/>
    </border>
    <border>
      <left/>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0"/>
    </xf>
    <xf borderId="2" fillId="0" fontId="2" numFmtId="0" xfId="0" applyBorder="1" applyFont="1"/>
    <xf borderId="1" fillId="2" fontId="3" numFmtId="0" xfId="0" applyAlignment="1" applyBorder="1" applyFill="1" applyFont="1">
      <alignment horizontal="center" shrinkToFit="0" vertical="center" wrapText="0"/>
    </xf>
    <xf borderId="1" fillId="2" fontId="4" numFmtId="0" xfId="0" applyAlignment="1" applyBorder="1" applyFill="1" applyFont="1">
      <alignment horizontal="center" shrinkToFit="0" vertical="center" wrapText="0"/>
    </xf>
    <xf borderId="3" fillId="3" fontId="5" numFmtId="0" xfId="0" applyAlignment="1" applyBorder="1" applyFill="1" applyFont="1">
      <alignment horizontal="center" shrinkToFit="0" vertical="center" wrapText="1"/>
    </xf>
    <xf borderId="3" fillId="4" fontId="5" numFmtId="0" xfId="0" applyAlignment="1" applyBorder="1" applyFill="1" applyFont="1">
      <alignment horizontal="center" shrinkToFit="0" vertical="center" wrapText="1"/>
    </xf>
    <xf borderId="3" fillId="5" fontId="5" numFmtId="0" xfId="0" applyAlignment="1" applyBorder="1" applyFill="1" applyFont="1">
      <alignment horizontal="center" shrinkToFit="0" vertical="center" wrapText="1"/>
    </xf>
    <xf borderId="3" fillId="6" fontId="5" numFmtId="0" xfId="0" applyAlignment="1" applyBorder="1" applyFill="1" applyFont="1">
      <alignment horizontal="center" shrinkToFit="0" vertical="center" wrapText="1"/>
    </xf>
    <xf borderId="3" fillId="7" fontId="6" numFmtId="0" xfId="0" applyAlignment="1" applyBorder="1" applyFill="1" applyFont="1">
      <alignment horizontal="center" shrinkToFit="0" vertical="center" wrapText="0"/>
    </xf>
    <xf borderId="3" fillId="7" fontId="6" numFmtId="0" xfId="0" applyAlignment="1" applyBorder="1" applyFill="1" applyFont="1">
      <alignment horizontal="left" shrinkToFit="0" vertical="center" wrapText="0"/>
    </xf>
    <xf borderId="3" fillId="8" fontId="6" numFmtId="0" xfId="0" applyAlignment="1" applyBorder="1" applyFill="1" applyFont="1">
      <alignment horizontal="center" shrinkToFit="0" vertical="center" wrapText="0"/>
    </xf>
    <xf borderId="3" fillId="7" fontId="6" numFmtId="3" xfId="0" applyAlignment="1" applyBorder="1" applyFill="1" applyFont="1" applyNumberFormat="1">
      <alignment horizontal="center" shrinkToFit="0" vertical="center" wrapText="0"/>
    </xf>
    <xf borderId="3" fillId="8" fontId="6" numFmtId="164" xfId="0" applyAlignment="1" applyBorder="1" applyFill="1" applyFont="1" applyNumberFormat="1">
      <alignment horizontal="center" shrinkToFit="0" vertical="center" wrapText="0"/>
    </xf>
    <xf borderId="3" fillId="8" fontId="7" numFmtId="0" xfId="0" applyAlignment="1" applyBorder="1" applyFill="1" applyFont="1">
      <alignment horizontal="center" shrinkToFit="0" vertical="center" wrapText="0"/>
    </xf>
    <xf borderId="3" fillId="7" fontId="8" numFmtId="0" xfId="0" applyAlignment="1" applyBorder="1" applyFill="1" applyFont="1">
      <alignment shrinkToFit="0" vertical="bottom" wrapText="0"/>
    </xf>
    <xf borderId="3" fillId="9" fontId="6" numFmtId="0" xfId="0" applyAlignment="1" applyBorder="1" applyFill="1" applyFont="1">
      <alignment horizontal="center" shrinkToFit="0" vertical="center" wrapText="0"/>
    </xf>
    <xf borderId="3" fillId="10" fontId="6" numFmtId="0" xfId="0" applyAlignment="1" applyBorder="1" applyFill="1" applyFont="1">
      <alignment horizontal="center" shrinkToFit="0" vertical="center" wrapText="0"/>
    </xf>
    <xf borderId="3" fillId="7" fontId="9" numFmtId="0" xfId="0" applyAlignment="1" applyBorder="1" applyFill="1" applyFont="1">
      <alignment horizontal="center" shrinkToFit="0" vertical="center" wrapText="0"/>
    </xf>
    <xf borderId="3" fillId="10" fontId="6" numFmtId="0" xfId="0" applyAlignment="1" applyBorder="1" applyFill="1" applyFont="1">
      <alignment horizontal="left" shrinkToFit="0" vertical="center" wrapText="0"/>
    </xf>
    <xf borderId="3" fillId="9" fontId="6" numFmtId="164" xfId="0" applyAlignment="1" applyBorder="1" applyFill="1" applyFont="1" applyNumberFormat="1">
      <alignment horizontal="center" shrinkToFit="0" vertical="center" wrapText="0"/>
    </xf>
    <xf borderId="3" fillId="10" fontId="6" numFmtId="3" xfId="0" applyAlignment="1" applyBorder="1" applyFill="1" applyFont="1" applyNumberFormat="1">
      <alignment horizontal="center" shrinkToFit="0" vertical="center" wrapText="0"/>
    </xf>
    <xf borderId="3" fillId="9" fontId="10" numFmtId="0" xfId="0" applyAlignment="1" applyBorder="1" applyFill="1" applyFont="1">
      <alignment horizontal="center" shrinkToFit="0" vertical="center" wrapText="0"/>
    </xf>
    <xf borderId="3" fillId="8" fontId="6" numFmtId="0" xfId="0" applyAlignment="1" applyBorder="1" applyFill="1" applyFont="1">
      <alignment horizontal="left" shrinkToFit="0" vertical="center" wrapText="0"/>
    </xf>
    <xf borderId="3" fillId="10" fontId="8" numFmtId="0" xfId="0" applyAlignment="1" applyBorder="1" applyFill="1" applyFont="1">
      <alignment shrinkToFit="0" vertical="bottom" wrapText="0"/>
    </xf>
    <xf borderId="3" fillId="9" fontId="6" numFmtId="0" xfId="0" applyAlignment="1" applyBorder="1" applyFill="1" applyFont="1">
      <alignment horizontal="left" shrinkToFit="0" vertical="center" wrapText="0"/>
    </xf>
    <xf borderId="3" fillId="8" fontId="6" numFmtId="3" xfId="0" applyAlignment="1" applyBorder="1" applyFill="1" applyFont="1" applyNumberFormat="1">
      <alignment horizontal="center" shrinkToFit="0" vertical="center" wrapText="0"/>
    </xf>
    <xf borderId="3" fillId="8" fontId="8" numFmtId="0" xfId="0" applyAlignment="1" applyBorder="1" applyFill="1" applyFont="1">
      <alignment shrinkToFit="0" vertical="bottom" wrapText="0"/>
    </xf>
    <xf borderId="3" fillId="9" fontId="6" numFmtId="3" xfId="0" applyAlignment="1" applyBorder="1" applyFill="1" applyFont="1" applyNumberFormat="1">
      <alignment horizontal="center" shrinkToFit="0" vertical="center" wrapText="0"/>
    </xf>
    <xf borderId="3" fillId="7" fontId="11" numFmtId="0" xfId="0" applyAlignment="1" applyBorder="1" applyFill="1" applyFont="1">
      <alignment horizontal="center" shrinkToFit="0" vertical="center" wrapText="0"/>
    </xf>
    <xf borderId="3" fillId="7" fontId="6" numFmtId="164" xfId="0" applyAlignment="1" applyBorder="1" applyFill="1" applyFont="1" applyNumberFormat="1">
      <alignment horizontal="center" shrinkToFit="0" vertical="center" wrapText="0"/>
    </xf>
    <xf borderId="3" fillId="7" fontId="7" numFmtId="0" xfId="0" applyAlignment="1" applyBorder="1" applyFill="1" applyFont="1">
      <alignment horizontal="center" shrinkToFit="0" vertical="center" wrapText="0"/>
    </xf>
    <xf borderId="3" fillId="11" fontId="6" numFmtId="0" xfId="0" applyAlignment="1" applyBorder="1" applyFill="1" applyFont="1">
      <alignment horizontal="center" shrinkToFit="0" vertical="center" wrapText="0"/>
    </xf>
    <xf borderId="3" fillId="11" fontId="9" numFmtId="0" xfId="0" applyAlignment="1" applyBorder="1" applyFill="1" applyFont="1">
      <alignment horizontal="center" shrinkToFit="0" vertical="center" wrapText="0"/>
    </xf>
    <xf borderId="3" fillId="11" fontId="6" numFmtId="0" xfId="0" applyAlignment="1" applyBorder="1" applyFill="1" applyFont="1">
      <alignment horizontal="left" shrinkToFit="0" vertical="center" wrapText="0"/>
    </xf>
    <xf borderId="3" fillId="9" fontId="8" numFmtId="0" xfId="0" applyAlignment="1" applyBorder="1" applyFill="1" applyFont="1">
      <alignment shrinkToFit="0" vertical="bottom" wrapText="0"/>
    </xf>
    <xf borderId="3" fillId="7" fontId="10" numFmtId="0" xfId="0" applyAlignment="1" applyBorder="1" applyFill="1" applyFont="1">
      <alignment horizontal="center" shrinkToFit="0" vertical="center" wrapText="0"/>
    </xf>
    <xf borderId="3" fillId="11" fontId="11" numFmtId="0" xfId="0" applyAlignment="1" applyBorder="1" applyFill="1" applyFont="1">
      <alignment horizontal="center" shrinkToFit="0" vertical="center" wrapText="0"/>
    </xf>
    <xf borderId="4" fillId="2" fontId="12" numFmtId="0" xfId="0" applyAlignment="1" applyBorder="1" applyFill="1" applyFont="1">
      <alignment horizontal="center" shrinkToFit="0" vertical="center" wrapText="0"/>
    </xf>
    <xf borderId="5" fillId="0" fontId="2" numFmtId="0" xfId="0" applyBorder="1" applyFont="1"/>
    <xf borderId="3" fillId="2" fontId="12" numFmtId="3" xfId="0" applyAlignment="1" applyBorder="1" applyFill="1" applyFont="1" applyNumberFormat="1">
      <alignment horizontal="center" shrinkToFit="0" vertical="center" wrapText="0"/>
    </xf>
    <xf borderId="3" fillId="2" fontId="8" numFmtId="0" xfId="0" applyAlignment="1" applyBorder="1" applyFill="1" applyFont="1">
      <alignment shrinkToFit="0" vertical="bottom" wrapText="0"/>
    </xf>
    <xf borderId="3" fillId="2" fontId="12" numFmtId="0" xfId="0" applyAlignment="1" applyBorder="1" applyFill="1" applyFont="1">
      <alignment horizontal="center" shrinkToFit="0" vertical="center" wrapText="0"/>
    </xf>
    <xf borderId="1" fillId="2" fontId="13" numFmtId="0" xfId="0" applyAlignment="1" applyBorder="1" applyFill="1" applyFont="1">
      <alignment horizontal="center" shrinkToFit="0" vertical="center" wrapText="0"/>
    </xf>
    <xf borderId="6" fillId="5" fontId="12" numFmtId="0" xfId="0" applyAlignment="1" applyBorder="1" applyFill="1" applyFont="1">
      <alignment horizontal="center" shrinkToFit="0" vertical="center" wrapText="1"/>
    </xf>
    <xf borderId="7" fillId="0" fontId="2" numFmtId="0" xfId="0" applyBorder="1" applyFont="1"/>
    <xf borderId="6" fillId="3" fontId="12" numFmtId="0" xfId="0" applyAlignment="1" applyBorder="1" applyFill="1" applyFont="1">
      <alignment horizontal="center" shrinkToFit="0" vertical="center" wrapText="1"/>
    </xf>
    <xf borderId="6" fillId="6" fontId="12" numFmtId="0" xfId="0" applyAlignment="1" applyBorder="1" applyFill="1" applyFont="1">
      <alignment horizontal="center" shrinkToFit="0" vertical="center" wrapText="1"/>
    </xf>
    <xf borderId="6" fillId="12" fontId="12" numFmtId="0" xfId="0" applyAlignment="1" applyBorder="1" applyFill="1" applyFont="1">
      <alignment horizontal="center" shrinkToFit="0" vertical="center" wrapText="1"/>
    </xf>
    <xf borderId="8" fillId="0" fontId="2" numFmtId="0" xfId="0" applyBorder="1" applyFont="1"/>
    <xf borderId="1" fillId="10" fontId="14" numFmtId="3" xfId="0" applyAlignment="1" applyBorder="1" applyFill="1" applyFont="1" applyNumberFormat="1">
      <alignment horizontal="center" shrinkToFit="0" vertical="center" wrapText="0"/>
    </xf>
    <xf borderId="1" fillId="10" fontId="15" numFmtId="3" xfId="0" applyAlignment="1" applyBorder="1" applyFill="1" applyFont="1" applyNumberFormat="1">
      <alignment horizontal="center" shrinkToFit="0" vertical="center" wrapText="0"/>
    </xf>
    <xf borderId="1" fillId="10" fontId="16" numFmtId="3" xfId="0" applyAlignment="1" applyBorder="1" applyFill="1" applyFont="1" applyNumberFormat="1">
      <alignment horizontal="center" shrinkToFit="0" vertical="center" wrapText="0"/>
    </xf>
    <xf borderId="1" fillId="10" fontId="17" numFmtId="1" xfId="0" applyAlignment="1" applyBorder="1" applyFill="1" applyFont="1" applyNumberFormat="1">
      <alignment horizontal="center" shrinkToFit="0" vertical="center" wrapText="0"/>
    </xf>
    <xf borderId="1" fillId="7" fontId="18" numFmtId="0" xfId="0" applyAlignment="1" applyBorder="1" applyFill="1" applyFont="1">
      <alignment horizontal="center" shrinkToFit="0" vertical="center" wrapText="0"/>
    </xf>
    <xf borderId="1" fillId="4" fontId="19" numFmtId="0" xfId="0" applyAlignment="1" applyBorder="1" applyFill="1" applyFont="1">
      <alignment horizontal="center" shrinkToFit="0" vertical="center" wrapText="0"/>
    </xf>
    <xf borderId="3" fillId="13" fontId="5" numFmtId="0" xfId="0" applyAlignment="1" applyBorder="1" applyFill="1" applyFont="1">
      <alignment horizontal="center" shrinkToFit="0" vertical="center" wrapText="1"/>
    </xf>
    <xf borderId="3" fillId="14" fontId="11" numFmtId="0" xfId="0" applyAlignment="1" applyBorder="1" applyFill="1" applyFont="1">
      <alignment horizontal="left" shrinkToFit="0" vertical="center" wrapText="0"/>
    </xf>
    <xf borderId="3" fillId="14" fontId="6" numFmtId="0" xfId="0" applyAlignment="1" applyBorder="1" applyFill="1" applyFont="1">
      <alignment horizontal="center" shrinkToFit="0" vertical="center" wrapText="0"/>
    </xf>
    <xf borderId="3" fillId="7" fontId="11" numFmtId="0" xfId="0" applyAlignment="1" applyBorder="1" applyFill="1" applyFont="1">
      <alignment horizontal="left" shrinkToFit="0" vertical="center" wrapText="0"/>
    </xf>
    <xf borderId="3" fillId="2" fontId="12" numFmtId="1" xfId="0" applyAlignment="1" applyBorder="1" applyFill="1" applyFont="1" applyNumberFormat="1">
      <alignment horizontal="center" shrinkToFit="0" vertical="center" wrapText="0"/>
    </xf>
    <xf borderId="1" fillId="3" fontId="19" numFmtId="0" xfId="0" applyAlignment="1" applyBorder="1" applyFill="1" applyFont="1">
      <alignment horizontal="center" shrinkToFit="0" vertical="center" wrapText="0"/>
    </xf>
    <xf borderId="1" fillId="2" fontId="13" numFmtId="0" xfId="0" applyAlignment="1" applyBorder="1" applyFill="1" applyFont="1">
      <alignment horizontal="left" shrinkToFit="0" vertical="center" wrapText="0"/>
    </xf>
    <xf borderId="0" fillId="0" fontId="6" numFmtId="0" xfId="0" applyAlignment="1" applyFont="1">
      <alignment horizontal="left" shrinkToFit="0" vertical="center" wrapText="0"/>
    </xf>
    <xf borderId="1" fillId="4" fontId="19" numFmtId="0" xfId="0" applyAlignment="1" applyBorder="1" applyFill="1" applyFont="1">
      <alignment horizontal="left" shrinkToFit="0" vertical="center" wrapText="0"/>
    </xf>
    <xf borderId="0" fillId="0" fontId="20" numFmtId="0" xfId="0" applyAlignment="1" applyFont="1">
      <alignment readingOrder="0"/>
    </xf>
    <xf borderId="1" fillId="2" fontId="21" numFmtId="0" xfId="0" applyAlignment="1" applyBorder="1" applyFill="1" applyFont="1">
      <alignment horizontal="center" shrinkToFit="0" vertical="center" wrapText="0"/>
    </xf>
    <xf borderId="0" fillId="0" fontId="8" numFmtId="0" xfId="0" applyAlignment="1" applyFont="1">
      <alignment shrinkToFit="0" vertical="bottom" wrapText="0"/>
    </xf>
    <xf borderId="0" fillId="0" fontId="22" numFmtId="0" xfId="0" applyFont="1"/>
    <xf borderId="0" fillId="0" fontId="8" numFmtId="3" xfId="0" applyAlignment="1" applyFont="1" applyNumberFormat="1">
      <alignment shrinkToFit="0" vertical="bottom" wrapText="0"/>
    </xf>
    <xf borderId="6" fillId="4" fontId="12" numFmtId="0" xfId="0" applyAlignment="1" applyBorder="1" applyFill="1" applyFont="1">
      <alignment horizontal="center" shrinkToFit="0" vertical="center" wrapText="1"/>
    </xf>
    <xf borderId="6" fillId="15" fontId="12" numFmtId="0" xfId="0" applyAlignment="1" applyBorder="1" applyFill="1" applyFont="1">
      <alignment horizontal="center" shrinkToFit="0" vertical="center" wrapText="1"/>
    </xf>
    <xf borderId="6" fillId="16" fontId="12" numFmtId="0" xfId="0" applyAlignment="1" applyBorder="1" applyFill="1" applyFont="1">
      <alignment horizontal="center" shrinkToFit="0" vertical="center" wrapText="1"/>
    </xf>
    <xf borderId="1" fillId="10" fontId="23" numFmtId="1" xfId="0" applyAlignment="1" applyBorder="1" applyFill="1" applyFont="1" applyNumberFormat="1">
      <alignment horizontal="center" shrinkToFit="0" vertical="center" wrapText="0"/>
    </xf>
    <xf borderId="1" fillId="10" fontId="24" numFmtId="3" xfId="0" applyAlignment="1" applyBorder="1" applyFill="1" applyFont="1" applyNumberFormat="1">
      <alignment horizontal="center" shrinkToFit="0" vertical="center" wrapText="0"/>
    </xf>
    <xf borderId="1" fillId="10" fontId="25" numFmtId="3" xfId="0" applyAlignment="1" applyBorder="1" applyFill="1" applyFont="1" applyNumberFormat="1">
      <alignment horizontal="center" shrinkToFit="0" vertical="center" wrapText="0"/>
    </xf>
    <xf borderId="1" fillId="10" fontId="26" numFmtId="3" xfId="0" applyAlignment="1" applyBorder="1" applyFill="1" applyFont="1" applyNumberFormat="1">
      <alignment horizontal="center" shrinkToFit="0" vertical="center" wrapText="0"/>
    </xf>
    <xf borderId="1" fillId="10" fontId="27" numFmtId="1" xfId="0" applyAlignment="1" applyBorder="1" applyFill="1" applyFont="1" applyNumberFormat="1">
      <alignment horizontal="center" shrinkToFit="0" vertical="center" wrapText="0"/>
    </xf>
    <xf borderId="1" fillId="10" fontId="25" numFmtId="1" xfId="0" applyAlignment="1" applyBorder="1" applyFill="1" applyFont="1" applyNumberFormat="1">
      <alignment horizontal="center" shrinkToFit="0" vertical="center" wrapText="0"/>
    </xf>
    <xf borderId="1" fillId="10" fontId="28" numFmtId="1" xfId="0" applyAlignment="1" applyBorder="1" applyFill="1" applyFont="1" applyNumberFormat="1">
      <alignment horizontal="center"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Tồn Kho Cuối Kỳ Theo Mặt Hàng</a:t>
            </a:r>
          </a:p>
        </c:rich>
      </c:tx>
      <c:overlay val="0"/>
    </c:title>
    <c:plotArea>
      <c:layout/>
      <c:barChart>
        <c:barDir val="col"/>
        <c:ser>
          <c:idx val="0"/>
          <c:order val="0"/>
          <c:tx>
            <c:v>Tồn Cuối</c:v>
          </c:tx>
          <c:spPr>
            <a:solidFill>
              <a:srgbClr val="00695C"/>
            </a:solidFill>
            <a:ln cmpd="sng">
              <a:noFill/>
            </a:ln>
          </c:spPr>
          <c:cat>
            <c:strRef>
              <c:f>DASHBOARD!$P$2:$P$16</c:f>
            </c:strRef>
          </c:cat>
          <c:val>
            <c:numRef>
              <c:f>DASHBOARD!$Q$2:$Q$16</c:f>
              <c:numCache/>
            </c:numRef>
          </c:val>
        </c:ser>
        <c:axId val="992396853"/>
        <c:axId val="908657165"/>
      </c:barChart>
      <c:catAx>
        <c:axId val="99239685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908657165"/>
      </c:catAx>
      <c:valAx>
        <c:axId val="908657165"/>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Số Lượng</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992396853"/>
      </c:valAx>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So Sánh Nhập – Xuất Theo Mặt Hàng</a:t>
            </a:r>
          </a:p>
        </c:rich>
      </c:tx>
      <c:overlay val="0"/>
    </c:title>
    <c:plotArea>
      <c:layout/>
      <c:barChart>
        <c:barDir val="col"/>
        <c:ser>
          <c:idx val="0"/>
          <c:order val="0"/>
          <c:tx>
            <c:v>Nhập</c:v>
          </c:tx>
          <c:spPr>
            <a:solidFill>
              <a:srgbClr val="1E5C2E"/>
            </a:solidFill>
            <a:ln cmpd="sng">
              <a:noFill/>
            </a:ln>
          </c:spPr>
          <c:cat>
            <c:strRef>
              <c:f>DASHBOARD!$P$2:$P$16</c:f>
            </c:strRef>
          </c:cat>
          <c:val>
            <c:numRef>
              <c:f>DASHBOARD!$R$2:$R$16</c:f>
              <c:numCache/>
            </c:numRef>
          </c:val>
        </c:ser>
        <c:ser>
          <c:idx val="1"/>
          <c:order val="1"/>
          <c:tx>
            <c:v>Xuất</c:v>
          </c:tx>
          <c:spPr>
            <a:solidFill>
              <a:srgbClr val="C00000"/>
            </a:solidFill>
            <a:ln cmpd="sng">
              <a:noFill/>
            </a:ln>
          </c:spPr>
          <c:cat>
            <c:strRef>
              <c:f>DASHBOARD!$P$2:$P$16</c:f>
            </c:strRef>
          </c:cat>
          <c:val>
            <c:numRef>
              <c:f>DASHBOARD!$S$2:$S$16</c:f>
              <c:numCache/>
            </c:numRef>
          </c:val>
        </c:ser>
        <c:axId val="501496608"/>
        <c:axId val="1923364113"/>
      </c:barChart>
      <c:catAx>
        <c:axId val="50149660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1923364113"/>
      </c:catAx>
      <c:valAx>
        <c:axId val="1923364113"/>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Số Lượng</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501496608"/>
      </c:valAx>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Tồn Kho Theo Nhóm Hàng</a:t>
            </a:r>
          </a:p>
        </c:rich>
      </c:tx>
      <c:overlay val="0"/>
    </c:title>
    <c:plotArea>
      <c:layout/>
      <c:barChart>
        <c:barDir val="bar"/>
        <c:ser>
          <c:idx val="0"/>
          <c:order val="0"/>
          <c:tx>
            <c:v>Tồn</c:v>
          </c:tx>
          <c:spPr>
            <a:solidFill>
              <a:srgbClr val="5B2C6F"/>
            </a:solidFill>
            <a:ln cmpd="sng">
              <a:noFill/>
            </a:ln>
          </c:spPr>
          <c:cat>
            <c:strRef>
              <c:f>DASHBOARD!$V$2:$V$5</c:f>
            </c:strRef>
          </c:cat>
          <c:val>
            <c:numRef>
              <c:f>DASHBOARD!$W$2:$W$5</c:f>
              <c:numCache/>
            </c:numRef>
          </c:val>
        </c:ser>
        <c:axId val="1412443735"/>
        <c:axId val="61801270"/>
      </c:barChart>
      <c:catAx>
        <c:axId val="1412443735"/>
        <c:scaling>
          <c:orientation val="maxMin"/>
        </c:scaling>
        <c:delete val="0"/>
        <c:axPos val="l"/>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61801270"/>
      </c:catAx>
      <c:valAx>
        <c:axId val="61801270"/>
        <c:scaling>
          <c:orientation val="minMax"/>
        </c:scaling>
        <c:delete val="0"/>
        <c:axPos val="b"/>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Nhóm</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1412443735"/>
        <c:crosses val="max"/>
      </c:valAx>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800">
                <a:solidFill>
                  <a:srgbClr val="000000"/>
                </a:solidFill>
                <a:latin typeface="Calibri"/>
              </a:defRPr>
            </a:pPr>
            <a:r>
              <a:rPr b="1" i="0" sz="1800">
                <a:solidFill>
                  <a:srgbClr val="000000"/>
                </a:solidFill>
                <a:latin typeface="Calibri"/>
              </a:rPr>
              <a:t>Giá Trị Nhập – Xuất Theo Nhóm Hàng (VNĐ)</a:t>
            </a:r>
          </a:p>
        </c:rich>
      </c:tx>
      <c:overlay val="0"/>
    </c:title>
    <c:plotArea>
      <c:layout/>
      <c:barChart>
        <c:barDir val="col"/>
        <c:ser>
          <c:idx val="0"/>
          <c:order val="0"/>
          <c:tx>
            <c:v>GT Nhập</c:v>
          </c:tx>
          <c:spPr>
            <a:solidFill>
              <a:srgbClr val="1E5C2E"/>
            </a:solidFill>
            <a:ln cmpd="sng">
              <a:noFill/>
            </a:ln>
          </c:spPr>
          <c:cat>
            <c:strRef>
              <c:f>DASHBOARD!$X$2:$X$5</c:f>
            </c:strRef>
          </c:cat>
          <c:val>
            <c:numRef>
              <c:f>DASHBOARD!$Y$2:$Y$5</c:f>
              <c:numCache/>
            </c:numRef>
          </c:val>
        </c:ser>
        <c:ser>
          <c:idx val="1"/>
          <c:order val="1"/>
          <c:tx>
            <c:v>GT Xuất</c:v>
          </c:tx>
          <c:spPr>
            <a:solidFill>
              <a:srgbClr val="C00000"/>
            </a:solidFill>
            <a:ln cmpd="sng">
              <a:noFill/>
            </a:ln>
          </c:spPr>
          <c:cat>
            <c:strRef>
              <c:f>DASHBOARD!$X$2:$X$5</c:f>
            </c:strRef>
          </c:cat>
          <c:val>
            <c:numRef>
              <c:f>DASHBOARD!$Z$2:$Z$5</c:f>
              <c:numCache/>
            </c:numRef>
          </c:val>
        </c:ser>
        <c:axId val="874361399"/>
        <c:axId val="244994418"/>
      </c:barChart>
      <c:catAx>
        <c:axId val="8743613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000">
                <a:solidFill>
                  <a:srgbClr val="000000"/>
                </a:solidFill>
                <a:latin typeface="Calibri"/>
              </a:defRPr>
            </a:pPr>
          </a:p>
        </c:txPr>
        <c:crossAx val="244994418"/>
      </c:catAx>
      <c:valAx>
        <c:axId val="244994418"/>
        <c:scaling>
          <c:orientation val="minMax"/>
        </c:scaling>
        <c:delete val="0"/>
        <c:axPos val="l"/>
        <c:majorGridlines>
          <c:spPr>
            <a:ln>
              <a:solidFill>
                <a:srgbClr val="B7B7B7"/>
              </a:solidFill>
            </a:ln>
          </c:spPr>
        </c:majorGridlines>
        <c:title>
          <c:tx>
            <c:rich>
              <a:bodyPr/>
              <a:lstStyle/>
              <a:p>
                <a:pPr lvl="0">
                  <a:defRPr b="1" i="0" sz="1000">
                    <a:solidFill>
                      <a:srgbClr val="000000"/>
                    </a:solidFill>
                    <a:latin typeface="Calibri"/>
                  </a:defRPr>
                </a:pPr>
                <a:r>
                  <a:rPr b="1" i="0" sz="1000">
                    <a:solidFill>
                      <a:srgbClr val="000000"/>
                    </a:solidFill>
                    <a:latin typeface="Calibri"/>
                  </a:rPr>
                  <a:t>VNĐ</a:t>
                </a:r>
              </a:p>
            </c:rich>
          </c:tx>
          <c:overlay val="0"/>
        </c:title>
        <c:numFmt formatCode="General" sourceLinked="1"/>
        <c:majorTickMark val="none"/>
        <c:minorTickMark val="none"/>
        <c:tickLblPos val="nextTo"/>
        <c:spPr>
          <a:ln>
            <a:noFill/>
          </a:ln>
        </c:spPr>
        <c:txPr>
          <a:bodyPr/>
          <a:lstStyle/>
          <a:p>
            <a:pPr lvl="0">
              <a:defRPr b="0" i="0" sz="1000">
                <a:solidFill>
                  <a:srgbClr val="000000"/>
                </a:solidFill>
                <a:latin typeface="Calibri"/>
              </a:defRPr>
            </a:pPr>
          </a:p>
        </c:txPr>
        <c:crossAx val="874361399"/>
      </c:valAx>
    </c:plotArea>
    <c:legend>
      <c:legendPos val="r"/>
      <c:overlay val="0"/>
      <c:txPr>
        <a:bodyPr/>
        <a:lstStyle/>
        <a:p>
          <a:pPr lvl="0">
            <a:defRPr b="0" i="0" sz="1000">
              <a:solidFill>
                <a:srgbClr val="000000"/>
              </a:solidFill>
              <a:latin typeface="Calibri"/>
            </a:defRPr>
          </a:pPr>
        </a:p>
      </c:txPr>
    </c:legend>
    <c:plotVisOnly val="1"/>
  </c:chart>
  <c:spPr>
    <a:solidFill>
      <a:srgbClr val="FFFFFF"/>
    </a:solidFill>
  </c:spPr>
</c:chartSpace>
</file>

<file path=xl/drawings/_rels/drawing6.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9</xdr:row>
      <xdr:rowOff>0</xdr:rowOff>
    </xdr:from>
    <xdr:ext cx="6810375" cy="4905375"/>
    <xdr:graphicFrame>
      <xdr:nvGraphicFramePr>
        <xdr:cNvPr id="51342215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7</xdr:col>
      <xdr:colOff>0</xdr:colOff>
      <xdr:row>9</xdr:row>
      <xdr:rowOff>0</xdr:rowOff>
    </xdr:from>
    <xdr:ext cx="6829425" cy="4905375"/>
    <xdr:graphicFrame>
      <xdr:nvGraphicFramePr>
        <xdr:cNvPr id="1750383678" name="Chart 2"/>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9</xdr:col>
      <xdr:colOff>495300</xdr:colOff>
      <xdr:row>30</xdr:row>
      <xdr:rowOff>123825</xdr:rowOff>
    </xdr:from>
    <xdr:ext cx="6134100" cy="4524375"/>
    <xdr:graphicFrame>
      <xdr:nvGraphicFramePr>
        <xdr:cNvPr id="978681171" name="Chart 3" title="Biểu đồ"/>
        <xdr:cNvGraphicFramePr/>
      </xdr:nvGraphicFramePr>
      <xdr:xfrm>
        <a:off x="0" y="0"/>
        <a:ext cx="0" cy="0"/>
      </xdr:xfrm>
      <a:graphic>
        <a:graphicData uri="http://schemas.openxmlformats.org/drawingml/2006/chart">
          <c:chart r:id="rId3"/>
        </a:graphicData>
      </a:graphic>
    </xdr:graphicFrame>
    <xdr:clientData fLocksWithSheet="0"/>
  </xdr:oneCellAnchor>
  <xdr:oneCellAnchor>
    <xdr:from>
      <xdr:col>17</xdr:col>
      <xdr:colOff>76200</xdr:colOff>
      <xdr:row>27</xdr:row>
      <xdr:rowOff>161925</xdr:rowOff>
    </xdr:from>
    <xdr:ext cx="6181725" cy="4524375"/>
    <xdr:graphicFrame>
      <xdr:nvGraphicFramePr>
        <xdr:cNvPr id="97857336" name="Chart 4" title="Biểu đồ"/>
        <xdr:cNvGraphicFramePr/>
      </xdr:nvGraphicFramePr>
      <xdr:xfrm>
        <a:off x="0" y="0"/>
        <a:ext cx="0" cy="0"/>
      </xdr:xfrm>
      <a:graphic>
        <a:graphicData uri="http://schemas.openxmlformats.org/drawingml/2006/chart">
          <c:chart r:id="rId4"/>
        </a:graphicData>
      </a:graphic>
    </xdr:graphicFrame>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arito.vn/quan-ly-kho/" TargetMode="External"/><Relationship Id="rId2"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F4E79"/>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12.0"/>
    <col customWidth="1" min="2" max="2" width="28.0"/>
    <col customWidth="1" min="3" max="3" width="15.0"/>
    <col customWidth="1" min="4" max="4" width="12.0"/>
    <col customWidth="1" min="5" max="6" width="16.0"/>
    <col customWidth="1" min="7" max="9" width="14.0"/>
    <col customWidth="1" min="10" max="10" width="22.0"/>
    <col customWidth="1" min="11" max="11" width="20.0"/>
    <col customWidth="1" min="12" max="26" width="8.71"/>
  </cols>
  <sheetData>
    <row r="1" ht="33.75" customHeight="1">
      <c r="A1" s="1" t="s">
        <v>0</v>
      </c>
      <c r="B1" s="2"/>
      <c r="C1" s="2"/>
      <c r="D1" s="2"/>
      <c r="E1" s="2"/>
      <c r="F1" s="2"/>
      <c r="G1" s="2"/>
      <c r="H1" s="2"/>
      <c r="I1" s="2"/>
      <c r="J1" s="2"/>
      <c r="K1" s="2"/>
    </row>
    <row r="2" ht="18.0" customHeight="1">
      <c r="A2" s="4" t="s">
        <v>5</v>
      </c>
      <c r="B2" s="2"/>
      <c r="C2" s="2"/>
      <c r="D2" s="2"/>
      <c r="E2" s="2"/>
      <c r="F2" s="2"/>
      <c r="G2" s="2"/>
      <c r="H2" s="2"/>
      <c r="I2" s="2"/>
      <c r="J2" s="2"/>
      <c r="K2" s="2"/>
    </row>
    <row r="3" ht="31.5" customHeight="1">
      <c r="A3" s="6" t="s">
        <v>9</v>
      </c>
      <c r="B3" s="6" t="s">
        <v>11</v>
      </c>
      <c r="C3" s="6" t="s">
        <v>14</v>
      </c>
      <c r="D3" s="6" t="s">
        <v>15</v>
      </c>
      <c r="E3" s="6" t="s">
        <v>16</v>
      </c>
      <c r="F3" s="6" t="s">
        <v>17</v>
      </c>
      <c r="G3" s="6" t="s">
        <v>19</v>
      </c>
      <c r="H3" s="6" t="s">
        <v>21</v>
      </c>
      <c r="I3" s="6" t="s">
        <v>23</v>
      </c>
      <c r="J3" s="6" t="s">
        <v>24</v>
      </c>
      <c r="K3" s="6" t="s">
        <v>27</v>
      </c>
    </row>
    <row r="4" ht="19.5" customHeight="1">
      <c r="A4" s="9" t="s">
        <v>31</v>
      </c>
      <c r="B4" s="10" t="s">
        <v>32</v>
      </c>
      <c r="C4" s="9" t="s">
        <v>34</v>
      </c>
      <c r="D4" s="9" t="s">
        <v>35</v>
      </c>
      <c r="E4" s="12">
        <v>1.85E7</v>
      </c>
      <c r="F4" s="12">
        <v>2.0E7</v>
      </c>
      <c r="G4" s="9">
        <v>4.0</v>
      </c>
      <c r="H4" s="9">
        <v>50.0</v>
      </c>
      <c r="I4" s="9" t="s">
        <v>42</v>
      </c>
      <c r="J4" s="9" t="s">
        <v>45</v>
      </c>
      <c r="K4" s="15"/>
    </row>
    <row r="5" ht="19.5" customHeight="1">
      <c r="A5" s="17" t="s">
        <v>46</v>
      </c>
      <c r="B5" s="19" t="s">
        <v>47</v>
      </c>
      <c r="C5" s="17" t="s">
        <v>34</v>
      </c>
      <c r="D5" s="17" t="s">
        <v>35</v>
      </c>
      <c r="E5" s="21">
        <v>350000.0</v>
      </c>
      <c r="F5" s="21">
        <v>420000.0</v>
      </c>
      <c r="G5" s="17">
        <v>20.0</v>
      </c>
      <c r="H5" s="17">
        <v>200.0</v>
      </c>
      <c r="I5" s="17" t="s">
        <v>49</v>
      </c>
      <c r="J5" s="17" t="s">
        <v>50</v>
      </c>
      <c r="K5" s="24"/>
    </row>
    <row r="6" ht="19.5" customHeight="1">
      <c r="A6" s="9" t="s">
        <v>44</v>
      </c>
      <c r="B6" s="10" t="s">
        <v>51</v>
      </c>
      <c r="C6" s="9" t="s">
        <v>34</v>
      </c>
      <c r="D6" s="9" t="s">
        <v>35</v>
      </c>
      <c r="E6" s="12">
        <v>1200000.0</v>
      </c>
      <c r="F6" s="12">
        <v>1500000.0</v>
      </c>
      <c r="G6" s="9">
        <v>4.0</v>
      </c>
      <c r="H6" s="9">
        <v>100.0</v>
      </c>
      <c r="I6" s="9" t="s">
        <v>52</v>
      </c>
      <c r="J6" s="9" t="s">
        <v>53</v>
      </c>
      <c r="K6" s="15"/>
    </row>
    <row r="7" ht="19.5" customHeight="1">
      <c r="A7" s="17" t="s">
        <v>54</v>
      </c>
      <c r="B7" s="19" t="s">
        <v>55</v>
      </c>
      <c r="C7" s="17" t="s">
        <v>34</v>
      </c>
      <c r="D7" s="17" t="s">
        <v>35</v>
      </c>
      <c r="E7" s="21">
        <v>4200000.0</v>
      </c>
      <c r="F7" s="21">
        <v>5000000.0</v>
      </c>
      <c r="G7" s="17">
        <v>5.0</v>
      </c>
      <c r="H7" s="17">
        <v>40.0</v>
      </c>
      <c r="I7" s="17" t="s">
        <v>58</v>
      </c>
      <c r="J7" s="17" t="s">
        <v>59</v>
      </c>
      <c r="K7" s="24"/>
    </row>
    <row r="8" ht="19.5" customHeight="1">
      <c r="A8" s="9" t="s">
        <v>60</v>
      </c>
      <c r="B8" s="10" t="s">
        <v>62</v>
      </c>
      <c r="C8" s="9" t="s">
        <v>34</v>
      </c>
      <c r="D8" s="9" t="s">
        <v>35</v>
      </c>
      <c r="E8" s="12">
        <v>5800000.0</v>
      </c>
      <c r="F8" s="12">
        <v>6800000.0</v>
      </c>
      <c r="G8" s="9">
        <v>8.0</v>
      </c>
      <c r="H8" s="9">
        <v>60.0</v>
      </c>
      <c r="I8" s="9" t="s">
        <v>64</v>
      </c>
      <c r="J8" s="9" t="s">
        <v>65</v>
      </c>
      <c r="K8" s="15"/>
    </row>
    <row r="9" ht="19.5" customHeight="1">
      <c r="A9" s="17" t="s">
        <v>66</v>
      </c>
      <c r="B9" s="19" t="s">
        <v>67</v>
      </c>
      <c r="C9" s="17" t="s">
        <v>68</v>
      </c>
      <c r="D9" s="17" t="s">
        <v>70</v>
      </c>
      <c r="E9" s="21">
        <v>65000.0</v>
      </c>
      <c r="F9" s="21">
        <v>85000.0</v>
      </c>
      <c r="G9" s="17">
        <v>50.0</v>
      </c>
      <c r="H9" s="17">
        <v>500.0</v>
      </c>
      <c r="I9" s="17" t="s">
        <v>72</v>
      </c>
      <c r="J9" s="17" t="s">
        <v>73</v>
      </c>
      <c r="K9" s="24"/>
    </row>
    <row r="10" ht="19.5" customHeight="1">
      <c r="A10" s="9" t="s">
        <v>63</v>
      </c>
      <c r="B10" s="10" t="s">
        <v>74</v>
      </c>
      <c r="C10" s="9" t="s">
        <v>68</v>
      </c>
      <c r="D10" s="9" t="s">
        <v>75</v>
      </c>
      <c r="E10" s="12">
        <v>25000.0</v>
      </c>
      <c r="F10" s="12">
        <v>35000.0</v>
      </c>
      <c r="G10" s="9">
        <v>100.0</v>
      </c>
      <c r="H10" s="9">
        <v>1000.0</v>
      </c>
      <c r="I10" s="9" t="s">
        <v>77</v>
      </c>
      <c r="J10" s="9" t="s">
        <v>78</v>
      </c>
      <c r="K10" s="15"/>
    </row>
    <row r="11" ht="19.5" customHeight="1">
      <c r="A11" s="17" t="s">
        <v>79</v>
      </c>
      <c r="B11" s="19" t="s">
        <v>80</v>
      </c>
      <c r="C11" s="17" t="s">
        <v>68</v>
      </c>
      <c r="D11" s="17" t="s">
        <v>35</v>
      </c>
      <c r="E11" s="21">
        <v>45000.0</v>
      </c>
      <c r="F11" s="21">
        <v>60000.0</v>
      </c>
      <c r="G11" s="17">
        <v>30.0</v>
      </c>
      <c r="H11" s="17">
        <v>300.0</v>
      </c>
      <c r="I11" s="17" t="s">
        <v>82</v>
      </c>
      <c r="J11" s="17" t="s">
        <v>83</v>
      </c>
      <c r="K11" s="24"/>
    </row>
    <row r="12" ht="19.5" customHeight="1">
      <c r="A12" s="9" t="s">
        <v>85</v>
      </c>
      <c r="B12" s="10" t="s">
        <v>86</v>
      </c>
      <c r="C12" s="9" t="s">
        <v>34</v>
      </c>
      <c r="D12" s="9" t="s">
        <v>75</v>
      </c>
      <c r="E12" s="12">
        <v>680000.0</v>
      </c>
      <c r="F12" s="12">
        <v>820000.0</v>
      </c>
      <c r="G12" s="9">
        <v>10.0</v>
      </c>
      <c r="H12" s="9">
        <v>80.0</v>
      </c>
      <c r="I12" s="9" t="s">
        <v>88</v>
      </c>
      <c r="J12" s="9" t="s">
        <v>89</v>
      </c>
      <c r="K12" s="15"/>
    </row>
    <row r="13" ht="19.5" customHeight="1">
      <c r="A13" s="17" t="s">
        <v>90</v>
      </c>
      <c r="B13" s="19" t="s">
        <v>91</v>
      </c>
      <c r="C13" s="17" t="s">
        <v>34</v>
      </c>
      <c r="D13" s="17" t="s">
        <v>35</v>
      </c>
      <c r="E13" s="21">
        <v>180000.0</v>
      </c>
      <c r="F13" s="21">
        <v>250000.0</v>
      </c>
      <c r="G13" s="17">
        <v>20.0</v>
      </c>
      <c r="H13" s="17">
        <v>200.0</v>
      </c>
      <c r="I13" s="17" t="s">
        <v>93</v>
      </c>
      <c r="J13" s="17" t="s">
        <v>94</v>
      </c>
      <c r="K13" s="24"/>
    </row>
    <row r="14" ht="19.5" customHeight="1">
      <c r="A14" s="9" t="s">
        <v>95</v>
      </c>
      <c r="B14" s="10" t="s">
        <v>96</v>
      </c>
      <c r="C14" s="9" t="s">
        <v>97</v>
      </c>
      <c r="D14" s="9" t="s">
        <v>35</v>
      </c>
      <c r="E14" s="12">
        <v>2800000.0</v>
      </c>
      <c r="F14" s="12">
        <v>3500000.0</v>
      </c>
      <c r="G14" s="9">
        <v>3.0</v>
      </c>
      <c r="H14" s="9">
        <v>20.0</v>
      </c>
      <c r="I14" s="9" t="s">
        <v>100</v>
      </c>
      <c r="J14" s="9" t="s">
        <v>101</v>
      </c>
      <c r="K14" s="15"/>
    </row>
    <row r="15" ht="19.5" customHeight="1">
      <c r="A15" s="17" t="s">
        <v>102</v>
      </c>
      <c r="B15" s="19" t="s">
        <v>103</v>
      </c>
      <c r="C15" s="17" t="s">
        <v>97</v>
      </c>
      <c r="D15" s="17" t="s">
        <v>35</v>
      </c>
      <c r="E15" s="21">
        <v>1500000.0</v>
      </c>
      <c r="F15" s="21">
        <v>2000000.0</v>
      </c>
      <c r="G15" s="17">
        <v>5.0</v>
      </c>
      <c r="H15" s="17">
        <v>30.0</v>
      </c>
      <c r="I15" s="17" t="s">
        <v>105</v>
      </c>
      <c r="J15" s="17" t="s">
        <v>101</v>
      </c>
      <c r="K15" s="24"/>
    </row>
    <row r="16" ht="19.5" customHeight="1">
      <c r="A16" s="9" t="s">
        <v>107</v>
      </c>
      <c r="B16" s="10" t="s">
        <v>108</v>
      </c>
      <c r="C16" s="9" t="s">
        <v>97</v>
      </c>
      <c r="D16" s="9" t="s">
        <v>35</v>
      </c>
      <c r="E16" s="12">
        <v>3200000.0</v>
      </c>
      <c r="F16" s="12">
        <v>4000000.0</v>
      </c>
      <c r="G16" s="9">
        <v>2.0</v>
      </c>
      <c r="H16" s="9">
        <v>15.0</v>
      </c>
      <c r="I16" s="9" t="s">
        <v>110</v>
      </c>
      <c r="J16" s="9" t="s">
        <v>111</v>
      </c>
      <c r="K16" s="15"/>
    </row>
    <row r="17" ht="19.5" customHeight="1">
      <c r="A17" s="17" t="s">
        <v>112</v>
      </c>
      <c r="B17" s="19" t="s">
        <v>113</v>
      </c>
      <c r="C17" s="17" t="s">
        <v>97</v>
      </c>
      <c r="D17" s="17" t="s">
        <v>35</v>
      </c>
      <c r="E17" s="21">
        <v>850000.0</v>
      </c>
      <c r="F17" s="21">
        <v>1100000.0</v>
      </c>
      <c r="G17" s="17">
        <v>5.0</v>
      </c>
      <c r="H17" s="17">
        <v>25.0</v>
      </c>
      <c r="I17" s="17" t="s">
        <v>115</v>
      </c>
      <c r="J17" s="17" t="s">
        <v>83</v>
      </c>
      <c r="K17" s="24"/>
    </row>
    <row r="18" ht="19.5" customHeight="1">
      <c r="A18" s="9" t="s">
        <v>116</v>
      </c>
      <c r="B18" s="10" t="s">
        <v>117</v>
      </c>
      <c r="C18" s="9" t="s">
        <v>118</v>
      </c>
      <c r="D18" s="9" t="s">
        <v>119</v>
      </c>
      <c r="E18" s="12">
        <v>40000.0</v>
      </c>
      <c r="F18" s="12">
        <v>55000.0</v>
      </c>
      <c r="G18" s="9">
        <v>20.0</v>
      </c>
      <c r="H18" s="9">
        <v>200.0</v>
      </c>
      <c r="I18" s="9" t="s">
        <v>122</v>
      </c>
      <c r="J18" s="9" t="s">
        <v>123</v>
      </c>
      <c r="K18" s="15"/>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K1"/>
    <mergeCell ref="A2:K2"/>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E5C2E"/>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0"/>
    <col customWidth="1" min="2" max="2" width="13.0"/>
    <col customWidth="1" min="3" max="3" width="12.0"/>
    <col customWidth="1" min="4" max="4" width="10.0"/>
    <col customWidth="1" min="5" max="5" width="28.0"/>
    <col customWidth="1" min="6" max="7" width="10.0"/>
    <col customWidth="1" min="8" max="8" width="15.0"/>
    <col customWidth="1" min="9" max="9" width="18.0"/>
    <col customWidth="1" min="10" max="10" width="22.0"/>
    <col customWidth="1" min="11" max="11" width="15.0"/>
    <col customWidth="1" min="12" max="12" width="20.0"/>
    <col customWidth="1" min="13" max="26" width="8.71"/>
  </cols>
  <sheetData>
    <row r="1" ht="33.75" customHeight="1">
      <c r="A1" s="1" t="s">
        <v>2</v>
      </c>
      <c r="B1" s="2"/>
      <c r="C1" s="2"/>
      <c r="D1" s="2"/>
      <c r="E1" s="2"/>
      <c r="F1" s="2"/>
      <c r="G1" s="2"/>
      <c r="H1" s="2"/>
      <c r="I1" s="2"/>
      <c r="J1" s="2"/>
      <c r="K1" s="2"/>
      <c r="L1" s="2"/>
    </row>
    <row r="2" ht="18.0" customHeight="1">
      <c r="A2" s="3" t="s">
        <v>4</v>
      </c>
      <c r="B2" s="2"/>
      <c r="C2" s="2"/>
      <c r="D2" s="2"/>
      <c r="E2" s="2"/>
      <c r="F2" s="2"/>
      <c r="G2" s="2"/>
      <c r="H2" s="2"/>
      <c r="I2" s="2"/>
      <c r="J2" s="2"/>
      <c r="K2" s="2"/>
      <c r="L2" s="2"/>
    </row>
    <row r="3" ht="31.5" customHeight="1">
      <c r="A3" s="7" t="s">
        <v>8</v>
      </c>
      <c r="B3" s="7" t="s">
        <v>13</v>
      </c>
      <c r="C3" s="7" t="s">
        <v>12</v>
      </c>
      <c r="D3" s="7" t="s">
        <v>9</v>
      </c>
      <c r="E3" s="7" t="s">
        <v>11</v>
      </c>
      <c r="F3" s="7" t="s">
        <v>18</v>
      </c>
      <c r="G3" s="7" t="s">
        <v>20</v>
      </c>
      <c r="H3" s="7" t="s">
        <v>22</v>
      </c>
      <c r="I3" s="7" t="s">
        <v>25</v>
      </c>
      <c r="J3" s="7" t="s">
        <v>24</v>
      </c>
      <c r="K3" s="7" t="s">
        <v>37</v>
      </c>
      <c r="L3" s="7" t="s">
        <v>27</v>
      </c>
    </row>
    <row r="4" ht="19.5" customHeight="1">
      <c r="A4" s="16">
        <v>1.0</v>
      </c>
      <c r="B4" s="20">
        <v>45811.0</v>
      </c>
      <c r="C4" s="16" t="s">
        <v>48</v>
      </c>
      <c r="D4" s="22" t="s">
        <v>44</v>
      </c>
      <c r="E4" s="25" t="str">
        <f t="shared" ref="E4:E23" si="1">IFERROR(VLOOKUP(D4,'danh_mục'!$A$4:$K$18,2,0),"")</f>
        <v/>
      </c>
      <c r="F4" s="16" t="str">
        <f t="shared" ref="F4:F23" si="2">IFERROR(VLOOKUP(D4,'danh_mục'!$A$4:$K$18,4,0),"")</f>
        <v/>
      </c>
      <c r="G4" s="16">
        <v>30.0</v>
      </c>
      <c r="H4" s="28">
        <v>1200000.0</v>
      </c>
      <c r="I4" s="28">
        <f t="shared" ref="I4:I23" si="3">G4*H4</f>
        <v>36000000</v>
      </c>
      <c r="J4" s="25" t="str">
        <f t="shared" ref="J4:J23" si="4">IFERROR(VLOOKUP(D4,'danh_mục'!$A$4:$K$18,10,0),"")</f>
        <v/>
      </c>
      <c r="K4" s="16" t="s">
        <v>57</v>
      </c>
      <c r="L4" s="35"/>
    </row>
    <row r="5" ht="19.5" customHeight="1">
      <c r="A5" s="9">
        <v>2.0</v>
      </c>
      <c r="B5" s="30">
        <v>45811.0</v>
      </c>
      <c r="C5" s="9" t="s">
        <v>71</v>
      </c>
      <c r="D5" s="36" t="s">
        <v>46</v>
      </c>
      <c r="E5" s="10" t="str">
        <f t="shared" si="1"/>
        <v/>
      </c>
      <c r="F5" s="9" t="str">
        <f t="shared" si="2"/>
        <v/>
      </c>
      <c r="G5" s="9">
        <v>46.0</v>
      </c>
      <c r="H5" s="12">
        <v>350000.0</v>
      </c>
      <c r="I5" s="12">
        <f t="shared" si="3"/>
        <v>16100000</v>
      </c>
      <c r="J5" s="10" t="str">
        <f t="shared" si="4"/>
        <v/>
      </c>
      <c r="K5" s="9" t="s">
        <v>57</v>
      </c>
      <c r="L5" s="15"/>
    </row>
    <row r="6" ht="19.5" customHeight="1">
      <c r="A6" s="16">
        <v>3.0</v>
      </c>
      <c r="B6" s="20">
        <v>45813.0</v>
      </c>
      <c r="C6" s="16" t="s">
        <v>87</v>
      </c>
      <c r="D6" s="22" t="s">
        <v>31</v>
      </c>
      <c r="E6" s="25" t="str">
        <f t="shared" si="1"/>
        <v/>
      </c>
      <c r="F6" s="16" t="str">
        <f t="shared" si="2"/>
        <v/>
      </c>
      <c r="G6" s="16">
        <v>39.0</v>
      </c>
      <c r="H6" s="28">
        <v>1.85E7</v>
      </c>
      <c r="I6" s="28">
        <f t="shared" si="3"/>
        <v>721500000</v>
      </c>
      <c r="J6" s="25" t="str">
        <f t="shared" si="4"/>
        <v/>
      </c>
      <c r="K6" s="16" t="s">
        <v>57</v>
      </c>
      <c r="L6" s="35"/>
    </row>
    <row r="7" ht="19.5" customHeight="1">
      <c r="A7" s="9">
        <v>4.0</v>
      </c>
      <c r="B7" s="30">
        <v>45813.0</v>
      </c>
      <c r="C7" s="9" t="s">
        <v>98</v>
      </c>
      <c r="D7" s="36" t="s">
        <v>90</v>
      </c>
      <c r="E7" s="10" t="str">
        <f t="shared" si="1"/>
        <v/>
      </c>
      <c r="F7" s="9" t="str">
        <f t="shared" si="2"/>
        <v/>
      </c>
      <c r="G7" s="9">
        <v>11.0</v>
      </c>
      <c r="H7" s="12">
        <v>180000.0</v>
      </c>
      <c r="I7" s="12">
        <f t="shared" si="3"/>
        <v>1980000</v>
      </c>
      <c r="J7" s="10" t="str">
        <f t="shared" si="4"/>
        <v/>
      </c>
      <c r="K7" s="9" t="s">
        <v>57</v>
      </c>
      <c r="L7" s="15"/>
    </row>
    <row r="8" ht="19.5" customHeight="1">
      <c r="A8" s="16">
        <v>5.0</v>
      </c>
      <c r="B8" s="20">
        <v>45817.0</v>
      </c>
      <c r="C8" s="16" t="s">
        <v>109</v>
      </c>
      <c r="D8" s="22" t="s">
        <v>44</v>
      </c>
      <c r="E8" s="25" t="str">
        <f t="shared" si="1"/>
        <v/>
      </c>
      <c r="F8" s="16" t="str">
        <f t="shared" si="2"/>
        <v/>
      </c>
      <c r="G8" s="16">
        <v>8.0</v>
      </c>
      <c r="H8" s="28">
        <v>1200000.0</v>
      </c>
      <c r="I8" s="28">
        <f t="shared" si="3"/>
        <v>9600000</v>
      </c>
      <c r="J8" s="25" t="str">
        <f t="shared" si="4"/>
        <v/>
      </c>
      <c r="K8" s="16" t="s">
        <v>57</v>
      </c>
      <c r="L8" s="35"/>
    </row>
    <row r="9" ht="19.5" customHeight="1">
      <c r="A9" s="9">
        <v>6.0</v>
      </c>
      <c r="B9" s="30">
        <v>45817.0</v>
      </c>
      <c r="C9" s="9" t="s">
        <v>121</v>
      </c>
      <c r="D9" s="36" t="s">
        <v>63</v>
      </c>
      <c r="E9" s="10" t="str">
        <f t="shared" si="1"/>
        <v/>
      </c>
      <c r="F9" s="9" t="str">
        <f t="shared" si="2"/>
        <v/>
      </c>
      <c r="G9" s="9">
        <v>37.0</v>
      </c>
      <c r="H9" s="12">
        <v>25000.0</v>
      </c>
      <c r="I9" s="12">
        <f t="shared" si="3"/>
        <v>925000</v>
      </c>
      <c r="J9" s="10" t="str">
        <f t="shared" si="4"/>
        <v/>
      </c>
      <c r="K9" s="9" t="s">
        <v>57</v>
      </c>
      <c r="L9" s="15"/>
    </row>
    <row r="10" ht="19.5" customHeight="1">
      <c r="A10" s="16">
        <v>7.0</v>
      </c>
      <c r="B10" s="20">
        <v>45819.0</v>
      </c>
      <c r="C10" s="16" t="s">
        <v>126</v>
      </c>
      <c r="D10" s="22" t="s">
        <v>46</v>
      </c>
      <c r="E10" s="25" t="str">
        <f t="shared" si="1"/>
        <v/>
      </c>
      <c r="F10" s="16" t="str">
        <f t="shared" si="2"/>
        <v/>
      </c>
      <c r="G10" s="16">
        <v>10.0</v>
      </c>
      <c r="H10" s="28">
        <v>350000.0</v>
      </c>
      <c r="I10" s="28">
        <f t="shared" si="3"/>
        <v>3500000</v>
      </c>
      <c r="J10" s="25" t="str">
        <f t="shared" si="4"/>
        <v/>
      </c>
      <c r="K10" s="16" t="s">
        <v>57</v>
      </c>
      <c r="L10" s="35"/>
    </row>
    <row r="11" ht="19.5" customHeight="1">
      <c r="A11" s="9">
        <v>8.0</v>
      </c>
      <c r="B11" s="30">
        <v>45819.0</v>
      </c>
      <c r="C11" s="9" t="s">
        <v>128</v>
      </c>
      <c r="D11" s="36" t="s">
        <v>31</v>
      </c>
      <c r="E11" s="10" t="str">
        <f t="shared" si="1"/>
        <v/>
      </c>
      <c r="F11" s="9" t="str">
        <f t="shared" si="2"/>
        <v/>
      </c>
      <c r="G11" s="9">
        <v>32.0</v>
      </c>
      <c r="H11" s="12">
        <v>1.85E7</v>
      </c>
      <c r="I11" s="12">
        <f t="shared" si="3"/>
        <v>592000000</v>
      </c>
      <c r="J11" s="10" t="str">
        <f t="shared" si="4"/>
        <v/>
      </c>
      <c r="K11" s="9" t="s">
        <v>57</v>
      </c>
      <c r="L11" s="15"/>
    </row>
    <row r="12" ht="19.5" customHeight="1">
      <c r="A12" s="16">
        <v>9.0</v>
      </c>
      <c r="B12" s="20">
        <v>45821.0</v>
      </c>
      <c r="C12" s="16" t="s">
        <v>133</v>
      </c>
      <c r="D12" s="22" t="s">
        <v>66</v>
      </c>
      <c r="E12" s="25" t="str">
        <f t="shared" si="1"/>
        <v/>
      </c>
      <c r="F12" s="16" t="str">
        <f t="shared" si="2"/>
        <v/>
      </c>
      <c r="G12" s="16">
        <v>20.0</v>
      </c>
      <c r="H12" s="28">
        <v>65000.0</v>
      </c>
      <c r="I12" s="28">
        <f t="shared" si="3"/>
        <v>1300000</v>
      </c>
      <c r="J12" s="25" t="str">
        <f t="shared" si="4"/>
        <v/>
      </c>
      <c r="K12" s="16" t="s">
        <v>57</v>
      </c>
      <c r="L12" s="35"/>
    </row>
    <row r="13" ht="19.5" customHeight="1">
      <c r="A13" s="9">
        <v>10.0</v>
      </c>
      <c r="B13" s="30">
        <v>45821.0</v>
      </c>
      <c r="C13" s="9" t="s">
        <v>134</v>
      </c>
      <c r="D13" s="36" t="s">
        <v>31</v>
      </c>
      <c r="E13" s="10" t="str">
        <f t="shared" si="1"/>
        <v/>
      </c>
      <c r="F13" s="9" t="str">
        <f t="shared" si="2"/>
        <v/>
      </c>
      <c r="G13" s="9">
        <v>10.0</v>
      </c>
      <c r="H13" s="12">
        <v>1.85E7</v>
      </c>
      <c r="I13" s="12">
        <f t="shared" si="3"/>
        <v>185000000</v>
      </c>
      <c r="J13" s="10" t="str">
        <f t="shared" si="4"/>
        <v/>
      </c>
      <c r="K13" s="9" t="s">
        <v>57</v>
      </c>
      <c r="L13" s="15"/>
    </row>
    <row r="14" ht="19.5" customHeight="1">
      <c r="A14" s="16">
        <v>11.0</v>
      </c>
      <c r="B14" s="20">
        <v>45825.0</v>
      </c>
      <c r="C14" s="16" t="s">
        <v>135</v>
      </c>
      <c r="D14" s="22" t="s">
        <v>63</v>
      </c>
      <c r="E14" s="25" t="str">
        <f t="shared" si="1"/>
        <v/>
      </c>
      <c r="F14" s="16" t="str">
        <f t="shared" si="2"/>
        <v/>
      </c>
      <c r="G14" s="16">
        <v>8.0</v>
      </c>
      <c r="H14" s="28">
        <v>25000.0</v>
      </c>
      <c r="I14" s="28">
        <f t="shared" si="3"/>
        <v>200000</v>
      </c>
      <c r="J14" s="25" t="str">
        <f t="shared" si="4"/>
        <v/>
      </c>
      <c r="K14" s="16" t="s">
        <v>57</v>
      </c>
      <c r="L14" s="35"/>
    </row>
    <row r="15" ht="19.5" customHeight="1">
      <c r="A15" s="9">
        <v>12.0</v>
      </c>
      <c r="B15" s="30">
        <v>45825.0</v>
      </c>
      <c r="C15" s="9" t="s">
        <v>136</v>
      </c>
      <c r="D15" s="36" t="s">
        <v>66</v>
      </c>
      <c r="E15" s="10" t="str">
        <f t="shared" si="1"/>
        <v/>
      </c>
      <c r="F15" s="9" t="str">
        <f t="shared" si="2"/>
        <v/>
      </c>
      <c r="G15" s="9">
        <v>41.0</v>
      </c>
      <c r="H15" s="12">
        <v>65000.0</v>
      </c>
      <c r="I15" s="12">
        <f t="shared" si="3"/>
        <v>2665000</v>
      </c>
      <c r="J15" s="10" t="str">
        <f t="shared" si="4"/>
        <v/>
      </c>
      <c r="K15" s="9" t="s">
        <v>57</v>
      </c>
      <c r="L15" s="15"/>
    </row>
    <row r="16" ht="19.5" customHeight="1">
      <c r="A16" s="16">
        <v>13.0</v>
      </c>
      <c r="B16" s="20">
        <v>45827.0</v>
      </c>
      <c r="C16" s="16" t="s">
        <v>137</v>
      </c>
      <c r="D16" s="22" t="s">
        <v>31</v>
      </c>
      <c r="E16" s="25" t="str">
        <f t="shared" si="1"/>
        <v/>
      </c>
      <c r="F16" s="16" t="str">
        <f t="shared" si="2"/>
        <v/>
      </c>
      <c r="G16" s="16">
        <v>45.0</v>
      </c>
      <c r="H16" s="28">
        <v>1.85E7</v>
      </c>
      <c r="I16" s="28">
        <f t="shared" si="3"/>
        <v>832500000</v>
      </c>
      <c r="J16" s="25" t="str">
        <f t="shared" si="4"/>
        <v/>
      </c>
      <c r="K16" s="16" t="s">
        <v>57</v>
      </c>
      <c r="L16" s="35"/>
    </row>
    <row r="17" ht="19.5" customHeight="1">
      <c r="A17" s="9">
        <v>14.0</v>
      </c>
      <c r="B17" s="30">
        <v>45827.0</v>
      </c>
      <c r="C17" s="9" t="s">
        <v>138</v>
      </c>
      <c r="D17" s="36" t="s">
        <v>46</v>
      </c>
      <c r="E17" s="10" t="str">
        <f t="shared" si="1"/>
        <v/>
      </c>
      <c r="F17" s="9" t="str">
        <f t="shared" si="2"/>
        <v/>
      </c>
      <c r="G17" s="9">
        <v>45.0</v>
      </c>
      <c r="H17" s="12">
        <v>350000.0</v>
      </c>
      <c r="I17" s="12">
        <f t="shared" si="3"/>
        <v>15750000</v>
      </c>
      <c r="J17" s="10" t="str">
        <f t="shared" si="4"/>
        <v/>
      </c>
      <c r="K17" s="9" t="s">
        <v>57</v>
      </c>
      <c r="L17" s="15"/>
    </row>
    <row r="18" ht="19.5" customHeight="1">
      <c r="A18" s="16">
        <v>15.0</v>
      </c>
      <c r="B18" s="20">
        <v>45831.0</v>
      </c>
      <c r="C18" s="16" t="s">
        <v>139</v>
      </c>
      <c r="D18" s="22" t="s">
        <v>63</v>
      </c>
      <c r="E18" s="25" t="str">
        <f t="shared" si="1"/>
        <v/>
      </c>
      <c r="F18" s="16" t="str">
        <f t="shared" si="2"/>
        <v/>
      </c>
      <c r="G18" s="16">
        <v>41.0</v>
      </c>
      <c r="H18" s="28">
        <v>25000.0</v>
      </c>
      <c r="I18" s="28">
        <f t="shared" si="3"/>
        <v>1025000</v>
      </c>
      <c r="J18" s="25" t="str">
        <f t="shared" si="4"/>
        <v/>
      </c>
      <c r="K18" s="16" t="s">
        <v>57</v>
      </c>
      <c r="L18" s="35"/>
    </row>
    <row r="19" ht="19.5" customHeight="1">
      <c r="A19" s="9">
        <v>16.0</v>
      </c>
      <c r="B19" s="30">
        <v>45831.0</v>
      </c>
      <c r="C19" s="9" t="s">
        <v>140</v>
      </c>
      <c r="D19" s="36" t="s">
        <v>31</v>
      </c>
      <c r="E19" s="10" t="str">
        <f t="shared" si="1"/>
        <v/>
      </c>
      <c r="F19" s="9" t="str">
        <f t="shared" si="2"/>
        <v/>
      </c>
      <c r="G19" s="9">
        <v>42.0</v>
      </c>
      <c r="H19" s="12">
        <v>1.85E7</v>
      </c>
      <c r="I19" s="12">
        <f t="shared" si="3"/>
        <v>777000000</v>
      </c>
      <c r="J19" s="10" t="str">
        <f t="shared" si="4"/>
        <v/>
      </c>
      <c r="K19" s="9" t="s">
        <v>57</v>
      </c>
      <c r="L19" s="15"/>
    </row>
    <row r="20" ht="19.5" customHeight="1">
      <c r="A20" s="16">
        <v>17.0</v>
      </c>
      <c r="B20" s="20">
        <v>45833.0</v>
      </c>
      <c r="C20" s="16" t="s">
        <v>141</v>
      </c>
      <c r="D20" s="22" t="s">
        <v>66</v>
      </c>
      <c r="E20" s="25" t="str">
        <f t="shared" si="1"/>
        <v/>
      </c>
      <c r="F20" s="16" t="str">
        <f t="shared" si="2"/>
        <v/>
      </c>
      <c r="G20" s="16">
        <v>19.0</v>
      </c>
      <c r="H20" s="28">
        <v>65000.0</v>
      </c>
      <c r="I20" s="28">
        <f t="shared" si="3"/>
        <v>1235000</v>
      </c>
      <c r="J20" s="25" t="str">
        <f t="shared" si="4"/>
        <v/>
      </c>
      <c r="K20" s="16" t="s">
        <v>57</v>
      </c>
      <c r="L20" s="35"/>
    </row>
    <row r="21" ht="19.5" customHeight="1">
      <c r="A21" s="9">
        <v>18.0</v>
      </c>
      <c r="B21" s="30">
        <v>45833.0</v>
      </c>
      <c r="C21" s="9" t="s">
        <v>143</v>
      </c>
      <c r="D21" s="36" t="s">
        <v>31</v>
      </c>
      <c r="E21" s="10" t="str">
        <f t="shared" si="1"/>
        <v/>
      </c>
      <c r="F21" s="9" t="str">
        <f t="shared" si="2"/>
        <v/>
      </c>
      <c r="G21" s="9">
        <v>7.0</v>
      </c>
      <c r="H21" s="12">
        <v>1.85E7</v>
      </c>
      <c r="I21" s="12">
        <f t="shared" si="3"/>
        <v>129500000</v>
      </c>
      <c r="J21" s="10" t="str">
        <f t="shared" si="4"/>
        <v/>
      </c>
      <c r="K21" s="9" t="s">
        <v>57</v>
      </c>
      <c r="L21" s="15"/>
    </row>
    <row r="22" ht="19.5" customHeight="1">
      <c r="A22" s="16">
        <v>19.0</v>
      </c>
      <c r="B22" s="20">
        <v>45835.0</v>
      </c>
      <c r="C22" s="16" t="s">
        <v>145</v>
      </c>
      <c r="D22" s="22" t="s">
        <v>63</v>
      </c>
      <c r="E22" s="25" t="str">
        <f t="shared" si="1"/>
        <v/>
      </c>
      <c r="F22" s="16" t="str">
        <f t="shared" si="2"/>
        <v/>
      </c>
      <c r="G22" s="16">
        <v>23.0</v>
      </c>
      <c r="H22" s="28">
        <v>25000.0</v>
      </c>
      <c r="I22" s="28">
        <f t="shared" si="3"/>
        <v>575000</v>
      </c>
      <c r="J22" s="25" t="str">
        <f t="shared" si="4"/>
        <v/>
      </c>
      <c r="K22" s="16" t="s">
        <v>57</v>
      </c>
      <c r="L22" s="35"/>
    </row>
    <row r="23" ht="19.5" customHeight="1">
      <c r="A23" s="9">
        <v>20.0</v>
      </c>
      <c r="B23" s="30">
        <v>45835.0</v>
      </c>
      <c r="C23" s="9" t="s">
        <v>151</v>
      </c>
      <c r="D23" s="36" t="s">
        <v>46</v>
      </c>
      <c r="E23" s="10" t="str">
        <f t="shared" si="1"/>
        <v/>
      </c>
      <c r="F23" s="9" t="str">
        <f t="shared" si="2"/>
        <v/>
      </c>
      <c r="G23" s="9">
        <v>31.0</v>
      </c>
      <c r="H23" s="12">
        <v>350000.0</v>
      </c>
      <c r="I23" s="12">
        <f t="shared" si="3"/>
        <v>10850000</v>
      </c>
      <c r="J23" s="10" t="str">
        <f t="shared" si="4"/>
        <v/>
      </c>
      <c r="K23" s="9" t="s">
        <v>57</v>
      </c>
      <c r="L23" s="15"/>
    </row>
    <row r="24" ht="24.0" customHeight="1">
      <c r="A24" s="38" t="s">
        <v>152</v>
      </c>
      <c r="B24" s="39"/>
      <c r="C24" s="39"/>
      <c r="D24" s="39"/>
      <c r="E24" s="39"/>
      <c r="F24" s="39"/>
      <c r="G24" s="39"/>
      <c r="H24" s="39"/>
      <c r="I24" s="40">
        <f>SUM(I4:I23)</f>
        <v>3339205000</v>
      </c>
      <c r="J24" s="41"/>
      <c r="K24" s="41"/>
      <c r="L24" s="41"/>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L1"/>
    <mergeCell ref="A2:L2"/>
    <mergeCell ref="A24:H24"/>
  </mergeCells>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00000"/>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0"/>
    <col customWidth="1" min="2" max="2" width="13.0"/>
    <col customWidth="1" min="3" max="3" width="12.0"/>
    <col customWidth="1" min="4" max="4" width="10.0"/>
    <col customWidth="1" min="5" max="5" width="28.0"/>
    <col customWidth="1" min="6" max="7" width="10.0"/>
    <col customWidth="1" min="8" max="8" width="15.0"/>
    <col customWidth="1" min="9" max="9" width="18.0"/>
    <col customWidth="1" min="10" max="10" width="22.0"/>
    <col customWidth="1" min="11" max="11" width="15.0"/>
    <col customWidth="1" min="12" max="12" width="20.0"/>
    <col customWidth="1" min="13" max="26" width="8.71"/>
  </cols>
  <sheetData>
    <row r="1" ht="33.75" customHeight="1">
      <c r="A1" s="1" t="s">
        <v>1</v>
      </c>
      <c r="B1" s="2"/>
      <c r="C1" s="2"/>
      <c r="D1" s="2"/>
      <c r="E1" s="2"/>
      <c r="F1" s="2"/>
      <c r="G1" s="2"/>
      <c r="H1" s="2"/>
      <c r="I1" s="2"/>
      <c r="J1" s="2"/>
      <c r="K1" s="2"/>
      <c r="L1" s="2"/>
    </row>
    <row r="2" ht="18.0" customHeight="1">
      <c r="A2" s="3" t="s">
        <v>6</v>
      </c>
      <c r="B2" s="2"/>
      <c r="C2" s="2"/>
      <c r="D2" s="2"/>
      <c r="E2" s="2"/>
      <c r="F2" s="2"/>
      <c r="G2" s="2"/>
      <c r="H2" s="2"/>
      <c r="I2" s="2"/>
      <c r="J2" s="2"/>
      <c r="K2" s="2"/>
      <c r="L2" s="2"/>
    </row>
    <row r="3" ht="31.5" customHeight="1">
      <c r="A3" s="5" t="s">
        <v>8</v>
      </c>
      <c r="B3" s="5" t="s">
        <v>10</v>
      </c>
      <c r="C3" s="5" t="s">
        <v>12</v>
      </c>
      <c r="D3" s="5" t="s">
        <v>9</v>
      </c>
      <c r="E3" s="5" t="s">
        <v>11</v>
      </c>
      <c r="F3" s="5" t="s">
        <v>18</v>
      </c>
      <c r="G3" s="5" t="s">
        <v>20</v>
      </c>
      <c r="H3" s="5" t="s">
        <v>22</v>
      </c>
      <c r="I3" s="5" t="s">
        <v>25</v>
      </c>
      <c r="J3" s="5" t="s">
        <v>28</v>
      </c>
      <c r="K3" s="5" t="s">
        <v>29</v>
      </c>
      <c r="L3" s="5" t="s">
        <v>27</v>
      </c>
    </row>
    <row r="4" ht="19.5" customHeight="1">
      <c r="A4" s="11">
        <v>1.0</v>
      </c>
      <c r="B4" s="13">
        <v>45810.0</v>
      </c>
      <c r="C4" s="11" t="s">
        <v>41</v>
      </c>
      <c r="D4" s="14" t="s">
        <v>44</v>
      </c>
      <c r="E4" s="23" t="str">
        <f t="shared" ref="E4:E17" si="1">IFERROR(VLOOKUP(D4,'danh_mục'!$A$4:$K$18,2,0),"")</f>
        <v/>
      </c>
      <c r="F4" s="11" t="str">
        <f t="shared" ref="F4:F17" si="2">IFERROR(VLOOKUP(D4,'danh_mục'!$A$4:$K$18,4,0),"")</f>
        <v/>
      </c>
      <c r="G4" s="11">
        <v>2.0</v>
      </c>
      <c r="H4" s="26">
        <v>1500000.0</v>
      </c>
      <c r="I4" s="26">
        <f t="shared" ref="I4:I17" si="3">G4*H4</f>
        <v>3000000</v>
      </c>
      <c r="J4" s="23" t="s">
        <v>56</v>
      </c>
      <c r="K4" s="11" t="s">
        <v>57</v>
      </c>
      <c r="L4" s="27"/>
    </row>
    <row r="5" ht="19.5" customHeight="1">
      <c r="A5" s="9">
        <v>2.0</v>
      </c>
      <c r="B5" s="30">
        <v>45810.0</v>
      </c>
      <c r="C5" s="9" t="s">
        <v>61</v>
      </c>
      <c r="D5" s="31" t="s">
        <v>63</v>
      </c>
      <c r="E5" s="10" t="str">
        <f t="shared" si="1"/>
        <v/>
      </c>
      <c r="F5" s="9" t="str">
        <f t="shared" si="2"/>
        <v/>
      </c>
      <c r="G5" s="9">
        <v>5.0</v>
      </c>
      <c r="H5" s="12">
        <v>35000.0</v>
      </c>
      <c r="I5" s="12">
        <f t="shared" si="3"/>
        <v>175000</v>
      </c>
      <c r="J5" s="10" t="s">
        <v>56</v>
      </c>
      <c r="K5" s="9" t="s">
        <v>57</v>
      </c>
      <c r="L5" s="15"/>
    </row>
    <row r="6" ht="19.5" customHeight="1">
      <c r="A6" s="11">
        <v>3.0</v>
      </c>
      <c r="B6" s="13">
        <v>45813.0</v>
      </c>
      <c r="C6" s="11" t="s">
        <v>69</v>
      </c>
      <c r="D6" s="14" t="s">
        <v>44</v>
      </c>
      <c r="E6" s="23" t="str">
        <f t="shared" si="1"/>
        <v/>
      </c>
      <c r="F6" s="11" t="str">
        <f t="shared" si="2"/>
        <v/>
      </c>
      <c r="G6" s="11">
        <v>10.0</v>
      </c>
      <c r="H6" s="26">
        <v>1500000.0</v>
      </c>
      <c r="I6" s="26">
        <f t="shared" si="3"/>
        <v>15000000</v>
      </c>
      <c r="J6" s="23" t="s">
        <v>56</v>
      </c>
      <c r="K6" s="11" t="s">
        <v>57</v>
      </c>
      <c r="L6" s="27"/>
    </row>
    <row r="7" ht="19.5" customHeight="1">
      <c r="A7" s="9">
        <v>4.0</v>
      </c>
      <c r="B7" s="30">
        <v>45813.0</v>
      </c>
      <c r="C7" s="9" t="s">
        <v>76</v>
      </c>
      <c r="D7" s="31" t="s">
        <v>31</v>
      </c>
      <c r="E7" s="10" t="str">
        <f t="shared" si="1"/>
        <v/>
      </c>
      <c r="F7" s="9" t="str">
        <f t="shared" si="2"/>
        <v/>
      </c>
      <c r="G7" s="9">
        <v>4.0</v>
      </c>
      <c r="H7" s="12">
        <v>2.0E7</v>
      </c>
      <c r="I7" s="12">
        <f t="shared" si="3"/>
        <v>80000000</v>
      </c>
      <c r="J7" s="10" t="s">
        <v>81</v>
      </c>
      <c r="K7" s="9" t="s">
        <v>57</v>
      </c>
      <c r="L7" s="15"/>
    </row>
    <row r="8" ht="19.5" customHeight="1">
      <c r="A8" s="11">
        <v>5.0</v>
      </c>
      <c r="B8" s="13">
        <v>45819.0</v>
      </c>
      <c r="C8" s="11" t="s">
        <v>84</v>
      </c>
      <c r="D8" s="14" t="s">
        <v>46</v>
      </c>
      <c r="E8" s="23" t="str">
        <f t="shared" si="1"/>
        <v/>
      </c>
      <c r="F8" s="11" t="str">
        <f t="shared" si="2"/>
        <v/>
      </c>
      <c r="G8" s="11">
        <v>2.0</v>
      </c>
      <c r="H8" s="26">
        <v>420000.0</v>
      </c>
      <c r="I8" s="26">
        <f t="shared" si="3"/>
        <v>840000</v>
      </c>
      <c r="J8" s="23" t="s">
        <v>56</v>
      </c>
      <c r="K8" s="11" t="s">
        <v>57</v>
      </c>
      <c r="L8" s="27"/>
    </row>
    <row r="9" ht="19.5" customHeight="1">
      <c r="A9" s="9">
        <v>6.0</v>
      </c>
      <c r="B9" s="30">
        <v>45819.0</v>
      </c>
      <c r="C9" s="9" t="s">
        <v>92</v>
      </c>
      <c r="D9" s="31" t="s">
        <v>63</v>
      </c>
      <c r="E9" s="10" t="str">
        <f t="shared" si="1"/>
        <v/>
      </c>
      <c r="F9" s="9" t="str">
        <f t="shared" si="2"/>
        <v/>
      </c>
      <c r="G9" s="9">
        <v>1.0</v>
      </c>
      <c r="H9" s="12">
        <v>35000.0</v>
      </c>
      <c r="I9" s="12">
        <f t="shared" si="3"/>
        <v>35000</v>
      </c>
      <c r="J9" s="10" t="s">
        <v>56</v>
      </c>
      <c r="K9" s="9" t="s">
        <v>57</v>
      </c>
      <c r="L9" s="15"/>
    </row>
    <row r="10" ht="19.5" customHeight="1">
      <c r="A10" s="11">
        <v>7.0</v>
      </c>
      <c r="B10" s="13">
        <v>45825.0</v>
      </c>
      <c r="C10" s="11" t="s">
        <v>99</v>
      </c>
      <c r="D10" s="14" t="s">
        <v>66</v>
      </c>
      <c r="E10" s="23" t="str">
        <f t="shared" si="1"/>
        <v/>
      </c>
      <c r="F10" s="11" t="str">
        <f t="shared" si="2"/>
        <v/>
      </c>
      <c r="G10" s="11">
        <v>9.0</v>
      </c>
      <c r="H10" s="26">
        <v>85000.0</v>
      </c>
      <c r="I10" s="26">
        <f t="shared" si="3"/>
        <v>765000</v>
      </c>
      <c r="J10" s="23" t="s">
        <v>104</v>
      </c>
      <c r="K10" s="11" t="s">
        <v>57</v>
      </c>
      <c r="L10" s="27"/>
    </row>
    <row r="11" ht="19.5" customHeight="1">
      <c r="A11" s="9">
        <v>8.0</v>
      </c>
      <c r="B11" s="30">
        <v>45825.0</v>
      </c>
      <c r="C11" s="9" t="s">
        <v>106</v>
      </c>
      <c r="D11" s="31" t="s">
        <v>95</v>
      </c>
      <c r="E11" s="10" t="str">
        <f t="shared" si="1"/>
        <v/>
      </c>
      <c r="F11" s="9" t="str">
        <f t="shared" si="2"/>
        <v/>
      </c>
      <c r="G11" s="9">
        <v>6.0</v>
      </c>
      <c r="H11" s="12">
        <v>3500000.0</v>
      </c>
      <c r="I11" s="12">
        <f t="shared" si="3"/>
        <v>21000000</v>
      </c>
      <c r="J11" s="10" t="s">
        <v>104</v>
      </c>
      <c r="K11" s="9" t="s">
        <v>57</v>
      </c>
      <c r="L11" s="15"/>
    </row>
    <row r="12" ht="19.5" customHeight="1">
      <c r="A12" s="11">
        <v>9.0</v>
      </c>
      <c r="B12" s="13">
        <v>45828.0</v>
      </c>
      <c r="C12" s="11" t="s">
        <v>114</v>
      </c>
      <c r="D12" s="14" t="s">
        <v>95</v>
      </c>
      <c r="E12" s="23" t="str">
        <f t="shared" si="1"/>
        <v/>
      </c>
      <c r="F12" s="11" t="str">
        <f t="shared" si="2"/>
        <v/>
      </c>
      <c r="G12" s="11">
        <v>5.0</v>
      </c>
      <c r="H12" s="26">
        <v>3500000.0</v>
      </c>
      <c r="I12" s="26">
        <f t="shared" si="3"/>
        <v>17500000</v>
      </c>
      <c r="J12" s="23" t="s">
        <v>120</v>
      </c>
      <c r="K12" s="11" t="s">
        <v>57</v>
      </c>
      <c r="L12" s="27"/>
    </row>
    <row r="13" ht="19.5" customHeight="1">
      <c r="A13" s="9">
        <v>10.0</v>
      </c>
      <c r="B13" s="30">
        <v>45828.0</v>
      </c>
      <c r="C13" s="9" t="s">
        <v>124</v>
      </c>
      <c r="D13" s="31" t="s">
        <v>44</v>
      </c>
      <c r="E13" s="10" t="str">
        <f t="shared" si="1"/>
        <v/>
      </c>
      <c r="F13" s="9" t="str">
        <f t="shared" si="2"/>
        <v/>
      </c>
      <c r="G13" s="9">
        <v>3.0</v>
      </c>
      <c r="H13" s="12">
        <v>1500000.0</v>
      </c>
      <c r="I13" s="12">
        <f t="shared" si="3"/>
        <v>4500000</v>
      </c>
      <c r="J13" s="10" t="s">
        <v>120</v>
      </c>
      <c r="K13" s="9" t="s">
        <v>57</v>
      </c>
      <c r="L13" s="15"/>
    </row>
    <row r="14" ht="19.5" customHeight="1">
      <c r="A14" s="11">
        <v>11.0</v>
      </c>
      <c r="B14" s="13">
        <v>45831.0</v>
      </c>
      <c r="C14" s="11" t="s">
        <v>125</v>
      </c>
      <c r="D14" s="14" t="s">
        <v>46</v>
      </c>
      <c r="E14" s="23" t="str">
        <f t="shared" si="1"/>
        <v/>
      </c>
      <c r="F14" s="11" t="str">
        <f t="shared" si="2"/>
        <v/>
      </c>
      <c r="G14" s="11">
        <v>5.0</v>
      </c>
      <c r="H14" s="26">
        <v>420000.0</v>
      </c>
      <c r="I14" s="26">
        <f t="shared" si="3"/>
        <v>2100000</v>
      </c>
      <c r="J14" s="23" t="s">
        <v>56</v>
      </c>
      <c r="K14" s="11" t="s">
        <v>57</v>
      </c>
      <c r="L14" s="27"/>
    </row>
    <row r="15" ht="19.5" customHeight="1">
      <c r="A15" s="9">
        <v>12.0</v>
      </c>
      <c r="B15" s="30">
        <v>45831.0</v>
      </c>
      <c r="C15" s="9" t="s">
        <v>127</v>
      </c>
      <c r="D15" s="31" t="s">
        <v>63</v>
      </c>
      <c r="E15" s="10" t="str">
        <f t="shared" si="1"/>
        <v/>
      </c>
      <c r="F15" s="9" t="str">
        <f t="shared" si="2"/>
        <v/>
      </c>
      <c r="G15" s="9">
        <v>8.0</v>
      </c>
      <c r="H15" s="12">
        <v>35000.0</v>
      </c>
      <c r="I15" s="12">
        <f t="shared" si="3"/>
        <v>280000</v>
      </c>
      <c r="J15" s="10" t="s">
        <v>81</v>
      </c>
      <c r="K15" s="9" t="s">
        <v>57</v>
      </c>
      <c r="L15" s="15"/>
    </row>
    <row r="16" ht="19.5" customHeight="1">
      <c r="A16" s="11">
        <v>13.0</v>
      </c>
      <c r="B16" s="13">
        <v>45834.0</v>
      </c>
      <c r="C16" s="11" t="s">
        <v>129</v>
      </c>
      <c r="D16" s="14" t="s">
        <v>95</v>
      </c>
      <c r="E16" s="23" t="str">
        <f t="shared" si="1"/>
        <v/>
      </c>
      <c r="F16" s="11" t="str">
        <f t="shared" si="2"/>
        <v/>
      </c>
      <c r="G16" s="11">
        <v>10.0</v>
      </c>
      <c r="H16" s="26">
        <v>3500000.0</v>
      </c>
      <c r="I16" s="26">
        <f t="shared" si="3"/>
        <v>35000000</v>
      </c>
      <c r="J16" s="23" t="s">
        <v>130</v>
      </c>
      <c r="K16" s="11" t="s">
        <v>57</v>
      </c>
      <c r="L16" s="27"/>
    </row>
    <row r="17" ht="19.5" customHeight="1">
      <c r="A17" s="9">
        <v>14.0</v>
      </c>
      <c r="B17" s="30">
        <v>45834.0</v>
      </c>
      <c r="C17" s="9" t="s">
        <v>131</v>
      </c>
      <c r="D17" s="31" t="s">
        <v>44</v>
      </c>
      <c r="E17" s="10" t="str">
        <f t="shared" si="1"/>
        <v/>
      </c>
      <c r="F17" s="9" t="str">
        <f t="shared" si="2"/>
        <v/>
      </c>
      <c r="G17" s="9">
        <v>2.0</v>
      </c>
      <c r="H17" s="12">
        <v>1500000.0</v>
      </c>
      <c r="I17" s="12">
        <f t="shared" si="3"/>
        <v>3000000</v>
      </c>
      <c r="J17" s="10" t="s">
        <v>56</v>
      </c>
      <c r="K17" s="9" t="s">
        <v>57</v>
      </c>
      <c r="L17" s="15"/>
    </row>
    <row r="18" ht="24.0" customHeight="1">
      <c r="A18" s="38" t="s">
        <v>132</v>
      </c>
      <c r="B18" s="39"/>
      <c r="C18" s="39"/>
      <c r="D18" s="39"/>
      <c r="E18" s="39"/>
      <c r="F18" s="39"/>
      <c r="G18" s="39"/>
      <c r="H18" s="39"/>
      <c r="I18" s="40">
        <f>SUM(I4:I17)</f>
        <v>183195000</v>
      </c>
      <c r="J18" s="41"/>
      <c r="K18" s="41"/>
      <c r="L18" s="4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L1"/>
    <mergeCell ref="A2:L2"/>
    <mergeCell ref="A18:H18"/>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695C"/>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5.0"/>
    <col customWidth="1" min="2" max="2" width="10.0"/>
    <col customWidth="1" min="3" max="3" width="28.0"/>
    <col customWidth="1" min="4" max="4" width="15.0"/>
    <col customWidth="1" min="5" max="5" width="8.0"/>
    <col customWidth="1" min="6" max="10" width="13.0"/>
    <col customWidth="1" min="11" max="11" width="11.0"/>
    <col customWidth="1" min="12" max="12" width="16.0"/>
    <col customWidth="1" min="13" max="26" width="8.71"/>
  </cols>
  <sheetData>
    <row r="1" ht="33.75" customHeight="1">
      <c r="A1" s="1" t="s">
        <v>3</v>
      </c>
      <c r="B1" s="2"/>
      <c r="C1" s="2"/>
      <c r="D1" s="2"/>
      <c r="E1" s="2"/>
      <c r="F1" s="2"/>
      <c r="G1" s="2"/>
      <c r="H1" s="2"/>
      <c r="I1" s="2"/>
      <c r="J1" s="2"/>
      <c r="K1" s="2"/>
      <c r="L1" s="2"/>
    </row>
    <row r="2" ht="18.0" customHeight="1">
      <c r="A2" s="3" t="s">
        <v>7</v>
      </c>
      <c r="B2" s="2"/>
      <c r="C2" s="2"/>
      <c r="D2" s="2"/>
      <c r="E2" s="2"/>
      <c r="F2" s="2"/>
      <c r="G2" s="2"/>
      <c r="H2" s="2"/>
      <c r="I2" s="2"/>
      <c r="J2" s="2"/>
      <c r="K2" s="2"/>
      <c r="L2" s="2"/>
    </row>
    <row r="3" ht="31.5" customHeight="1">
      <c r="A3" s="8" t="s">
        <v>8</v>
      </c>
      <c r="B3" s="8" t="s">
        <v>9</v>
      </c>
      <c r="C3" s="8" t="s">
        <v>11</v>
      </c>
      <c r="D3" s="8" t="s">
        <v>14</v>
      </c>
      <c r="E3" s="8" t="s">
        <v>26</v>
      </c>
      <c r="F3" s="8" t="s">
        <v>30</v>
      </c>
      <c r="G3" s="8" t="s">
        <v>33</v>
      </c>
      <c r="H3" s="8" t="s">
        <v>36</v>
      </c>
      <c r="I3" s="8" t="s">
        <v>38</v>
      </c>
      <c r="J3" s="8" t="s">
        <v>39</v>
      </c>
      <c r="K3" s="8" t="s">
        <v>40</v>
      </c>
      <c r="L3" s="8" t="s">
        <v>43</v>
      </c>
    </row>
    <row r="4" ht="19.5" customHeight="1">
      <c r="A4" s="9">
        <v>1.0</v>
      </c>
      <c r="B4" s="18" t="s">
        <v>31</v>
      </c>
      <c r="C4" s="10" t="s">
        <v>32</v>
      </c>
      <c r="D4" s="9" t="s">
        <v>34</v>
      </c>
      <c r="E4" s="9" t="s">
        <v>35</v>
      </c>
      <c r="F4" s="9">
        <v>8.0</v>
      </c>
      <c r="G4" s="16">
        <f>IFERROR(SUMIF('NHẬP KHO'!$D$4:$D$23,B4,'NHẬP KHO'!$G$4:$G$23),0)</f>
        <v>175</v>
      </c>
      <c r="H4" s="11">
        <f>IFERROR(SUMIF('XUẤT KHO'!$D$4:$D$17,B4,'XUẤT KHO'!$G$4:$G$17),0)</f>
        <v>4</v>
      </c>
      <c r="I4" s="29">
        <f t="shared" ref="I4:I18" si="1">F4+G4-H4</f>
        <v>179</v>
      </c>
      <c r="J4" s="9">
        <v>5.0</v>
      </c>
      <c r="K4" s="9">
        <v>50.0</v>
      </c>
      <c r="L4" s="9" t="str">
        <f t="shared" ref="L4:L18" si="2">IF(I4&lt;=0,"🔴 Hết hàng",IF(I4&lt;J4,"🟡 Sắp hết",IF(I4&gt;K4,"🔵 Quá tồn","🟢 Bình thường")))</f>
        <v>🔵 Quá tồn</v>
      </c>
    </row>
    <row r="5" ht="19.5" customHeight="1">
      <c r="A5" s="32">
        <v>2.0</v>
      </c>
      <c r="B5" s="33" t="s">
        <v>46</v>
      </c>
      <c r="C5" s="34" t="s">
        <v>47</v>
      </c>
      <c r="D5" s="32" t="s">
        <v>34</v>
      </c>
      <c r="E5" s="32" t="s">
        <v>35</v>
      </c>
      <c r="F5" s="32">
        <v>45.0</v>
      </c>
      <c r="G5" s="16">
        <f>IFERROR(SUMIF('NHẬP KHO'!$D$4:$D$23,B5,'NHẬP KHO'!$G$4:$G$23),0)</f>
        <v>132</v>
      </c>
      <c r="H5" s="11">
        <f>IFERROR(SUMIF('XUẤT KHO'!$D$4:$D$17,B5,'XUẤT KHO'!$G$4:$G$17),0)</f>
        <v>7</v>
      </c>
      <c r="I5" s="37">
        <f t="shared" si="1"/>
        <v>170</v>
      </c>
      <c r="J5" s="32">
        <v>20.0</v>
      </c>
      <c r="K5" s="32">
        <v>200.0</v>
      </c>
      <c r="L5" s="32" t="str">
        <f t="shared" si="2"/>
        <v>🟢 Bình thường</v>
      </c>
    </row>
    <row r="6" ht="19.5" customHeight="1">
      <c r="A6" s="9">
        <v>3.0</v>
      </c>
      <c r="B6" s="18" t="s">
        <v>44</v>
      </c>
      <c r="C6" s="10" t="s">
        <v>51</v>
      </c>
      <c r="D6" s="9" t="s">
        <v>34</v>
      </c>
      <c r="E6" s="9" t="s">
        <v>35</v>
      </c>
      <c r="F6" s="9">
        <v>20.0</v>
      </c>
      <c r="G6" s="16">
        <f>IFERROR(SUMIF('NHẬP KHO'!$D$4:$D$23,B6,'NHẬP KHO'!$G$4:$G$23),0)</f>
        <v>38</v>
      </c>
      <c r="H6" s="11">
        <f>IFERROR(SUMIF('XUẤT KHO'!$D$4:$D$17,B6,'XUẤT KHO'!$G$4:$G$17),0)</f>
        <v>17</v>
      </c>
      <c r="I6" s="29">
        <f t="shared" si="1"/>
        <v>41</v>
      </c>
      <c r="J6" s="9">
        <v>10.0</v>
      </c>
      <c r="K6" s="9">
        <v>100.0</v>
      </c>
      <c r="L6" s="9" t="str">
        <f t="shared" si="2"/>
        <v>🟢 Bình thường</v>
      </c>
    </row>
    <row r="7" ht="19.5" customHeight="1">
      <c r="A7" s="32">
        <v>4.0</v>
      </c>
      <c r="B7" s="33" t="s">
        <v>54</v>
      </c>
      <c r="C7" s="34" t="s">
        <v>55</v>
      </c>
      <c r="D7" s="32" t="s">
        <v>34</v>
      </c>
      <c r="E7" s="32" t="s">
        <v>35</v>
      </c>
      <c r="F7" s="32">
        <v>12.0</v>
      </c>
      <c r="G7" s="16">
        <f>IFERROR(SUMIF('NHẬP KHO'!$D$4:$D$23,B7,'NHẬP KHO'!$G$4:$G$23),0)</f>
        <v>0</v>
      </c>
      <c r="H7" s="11">
        <f>IFERROR(SUMIF('XUẤT KHO'!$D$4:$D$17,B7,'XUẤT KHO'!$G$4:$G$17),0)</f>
        <v>0</v>
      </c>
      <c r="I7" s="37">
        <f t="shared" si="1"/>
        <v>12</v>
      </c>
      <c r="J7" s="32">
        <v>5.0</v>
      </c>
      <c r="K7" s="32">
        <v>40.0</v>
      </c>
      <c r="L7" s="32" t="str">
        <f t="shared" si="2"/>
        <v>🟢 Bình thường</v>
      </c>
    </row>
    <row r="8" ht="19.5" customHeight="1">
      <c r="A8" s="9">
        <v>5.0</v>
      </c>
      <c r="B8" s="18" t="s">
        <v>60</v>
      </c>
      <c r="C8" s="10" t="s">
        <v>62</v>
      </c>
      <c r="D8" s="9" t="s">
        <v>34</v>
      </c>
      <c r="E8" s="9" t="s">
        <v>35</v>
      </c>
      <c r="F8" s="9">
        <v>15.0</v>
      </c>
      <c r="G8" s="16">
        <f>IFERROR(SUMIF('NHẬP KHO'!$D$4:$D$23,B8,'NHẬP KHO'!$G$4:$G$23),0)</f>
        <v>0</v>
      </c>
      <c r="H8" s="11">
        <f>IFERROR(SUMIF('XUẤT KHO'!$D$4:$D$17,B8,'XUẤT KHO'!$G$4:$G$17),0)</f>
        <v>0</v>
      </c>
      <c r="I8" s="29">
        <f t="shared" si="1"/>
        <v>15</v>
      </c>
      <c r="J8" s="9">
        <v>8.0</v>
      </c>
      <c r="K8" s="9">
        <v>60.0</v>
      </c>
      <c r="L8" s="9" t="str">
        <f t="shared" si="2"/>
        <v>🟢 Bình thường</v>
      </c>
    </row>
    <row r="9" ht="19.5" customHeight="1">
      <c r="A9" s="32">
        <v>6.0</v>
      </c>
      <c r="B9" s="33" t="s">
        <v>66</v>
      </c>
      <c r="C9" s="34" t="s">
        <v>67</v>
      </c>
      <c r="D9" s="32" t="s">
        <v>68</v>
      </c>
      <c r="E9" s="32" t="s">
        <v>70</v>
      </c>
      <c r="F9" s="32">
        <v>200.0</v>
      </c>
      <c r="G9" s="16">
        <f>IFERROR(SUMIF('NHẬP KHO'!$D$4:$D$23,B9,'NHẬP KHO'!$G$4:$G$23),0)</f>
        <v>80</v>
      </c>
      <c r="H9" s="11">
        <f>IFERROR(SUMIF('XUẤT KHO'!$D$4:$D$17,B9,'XUẤT KHO'!$G$4:$G$17),0)</f>
        <v>9</v>
      </c>
      <c r="I9" s="37">
        <f t="shared" si="1"/>
        <v>271</v>
      </c>
      <c r="J9" s="32">
        <v>50.0</v>
      </c>
      <c r="K9" s="32">
        <v>500.0</v>
      </c>
      <c r="L9" s="32" t="str">
        <f t="shared" si="2"/>
        <v>🟢 Bình thường</v>
      </c>
    </row>
    <row r="10" ht="19.5" customHeight="1">
      <c r="A10" s="9">
        <v>7.0</v>
      </c>
      <c r="B10" s="18" t="s">
        <v>63</v>
      </c>
      <c r="C10" s="10" t="s">
        <v>74</v>
      </c>
      <c r="D10" s="9" t="s">
        <v>68</v>
      </c>
      <c r="E10" s="9" t="s">
        <v>75</v>
      </c>
      <c r="F10" s="9">
        <v>350.0</v>
      </c>
      <c r="G10" s="16">
        <f>IFERROR(SUMIF('NHẬP KHO'!$D$4:$D$23,B10,'NHẬP KHO'!$G$4:$G$23),0)</f>
        <v>109</v>
      </c>
      <c r="H10" s="11">
        <f>IFERROR(SUMIF('XUẤT KHO'!$D$4:$D$17,B10,'XUẤT KHO'!$G$4:$G$17),0)</f>
        <v>14</v>
      </c>
      <c r="I10" s="29">
        <f t="shared" si="1"/>
        <v>445</v>
      </c>
      <c r="J10" s="9">
        <v>100.0</v>
      </c>
      <c r="K10" s="9">
        <v>1000.0</v>
      </c>
      <c r="L10" s="9" t="str">
        <f t="shared" si="2"/>
        <v>🟢 Bình thường</v>
      </c>
    </row>
    <row r="11" ht="19.5" customHeight="1">
      <c r="A11" s="32">
        <v>8.0</v>
      </c>
      <c r="B11" s="33" t="s">
        <v>79</v>
      </c>
      <c r="C11" s="34" t="s">
        <v>80</v>
      </c>
      <c r="D11" s="32" t="s">
        <v>68</v>
      </c>
      <c r="E11" s="32" t="s">
        <v>35</v>
      </c>
      <c r="F11" s="32">
        <v>80.0</v>
      </c>
      <c r="G11" s="16">
        <f>IFERROR(SUMIF('NHẬP KHO'!$D$4:$D$23,B11,'NHẬP KHO'!$G$4:$G$23),0)</f>
        <v>0</v>
      </c>
      <c r="H11" s="11">
        <f>IFERROR(SUMIF('XUẤT KHO'!$D$4:$D$17,B11,'XUẤT KHO'!$G$4:$G$17),0)</f>
        <v>0</v>
      </c>
      <c r="I11" s="37">
        <f t="shared" si="1"/>
        <v>80</v>
      </c>
      <c r="J11" s="32">
        <v>30.0</v>
      </c>
      <c r="K11" s="32">
        <v>300.0</v>
      </c>
      <c r="L11" s="32" t="str">
        <f t="shared" si="2"/>
        <v>🟢 Bình thường</v>
      </c>
    </row>
    <row r="12" ht="19.5" customHeight="1">
      <c r="A12" s="9">
        <v>9.0</v>
      </c>
      <c r="B12" s="18" t="s">
        <v>85</v>
      </c>
      <c r="C12" s="10" t="s">
        <v>86</v>
      </c>
      <c r="D12" s="9" t="s">
        <v>34</v>
      </c>
      <c r="E12" s="9" t="s">
        <v>75</v>
      </c>
      <c r="F12" s="9">
        <v>25.0</v>
      </c>
      <c r="G12" s="16">
        <f>IFERROR(SUMIF('NHẬP KHO'!$D$4:$D$23,B12,'NHẬP KHO'!$G$4:$G$23),0)</f>
        <v>0</v>
      </c>
      <c r="H12" s="11">
        <f>IFERROR(SUMIF('XUẤT KHO'!$D$4:$D$17,B12,'XUẤT KHO'!$G$4:$G$17),0)</f>
        <v>0</v>
      </c>
      <c r="I12" s="29">
        <f t="shared" si="1"/>
        <v>25</v>
      </c>
      <c r="J12" s="9">
        <v>10.0</v>
      </c>
      <c r="K12" s="9">
        <v>80.0</v>
      </c>
      <c r="L12" s="9" t="str">
        <f t="shared" si="2"/>
        <v>🟢 Bình thường</v>
      </c>
    </row>
    <row r="13" ht="19.5" customHeight="1">
      <c r="A13" s="32">
        <v>10.0</v>
      </c>
      <c r="B13" s="33" t="s">
        <v>90</v>
      </c>
      <c r="C13" s="34" t="s">
        <v>91</v>
      </c>
      <c r="D13" s="32" t="s">
        <v>34</v>
      </c>
      <c r="E13" s="32" t="s">
        <v>35</v>
      </c>
      <c r="F13" s="32">
        <v>60.0</v>
      </c>
      <c r="G13" s="16">
        <f>IFERROR(SUMIF('NHẬP KHO'!$D$4:$D$23,B13,'NHẬP KHO'!$G$4:$G$23),0)</f>
        <v>11</v>
      </c>
      <c r="H13" s="11">
        <f>IFERROR(SUMIF('XUẤT KHO'!$D$4:$D$17,B13,'XUẤT KHO'!$G$4:$G$17),0)</f>
        <v>0</v>
      </c>
      <c r="I13" s="37">
        <f t="shared" si="1"/>
        <v>71</v>
      </c>
      <c r="J13" s="32">
        <v>20.0</v>
      </c>
      <c r="K13" s="32">
        <v>200.0</v>
      </c>
      <c r="L13" s="32" t="str">
        <f t="shared" si="2"/>
        <v>🟢 Bình thường</v>
      </c>
    </row>
    <row r="14" ht="19.5" customHeight="1">
      <c r="A14" s="9">
        <v>11.0</v>
      </c>
      <c r="B14" s="18" t="s">
        <v>95</v>
      </c>
      <c r="C14" s="10" t="s">
        <v>96</v>
      </c>
      <c r="D14" s="9" t="s">
        <v>97</v>
      </c>
      <c r="E14" s="9" t="s">
        <v>35</v>
      </c>
      <c r="F14" s="9">
        <v>6.0</v>
      </c>
      <c r="G14" s="16">
        <f>IFERROR(SUMIF('NHẬP KHO'!$D$4:$D$23,B14,'NHẬP KHO'!$G$4:$G$23),0)</f>
        <v>0</v>
      </c>
      <c r="H14" s="11">
        <f>IFERROR(SUMIF('XUẤT KHO'!$D$4:$D$17,B14,'XUẤT KHO'!$G$4:$G$17),0)</f>
        <v>21</v>
      </c>
      <c r="I14" s="29">
        <f t="shared" si="1"/>
        <v>-15</v>
      </c>
      <c r="J14" s="9">
        <v>3.0</v>
      </c>
      <c r="K14" s="9">
        <v>20.0</v>
      </c>
      <c r="L14" s="9" t="str">
        <f t="shared" si="2"/>
        <v>🔴 Hết hàng</v>
      </c>
    </row>
    <row r="15" ht="19.5" customHeight="1">
      <c r="A15" s="32">
        <v>12.0</v>
      </c>
      <c r="B15" s="33" t="s">
        <v>102</v>
      </c>
      <c r="C15" s="34" t="s">
        <v>103</v>
      </c>
      <c r="D15" s="32" t="s">
        <v>97</v>
      </c>
      <c r="E15" s="32" t="s">
        <v>35</v>
      </c>
      <c r="F15" s="32">
        <v>10.0</v>
      </c>
      <c r="G15" s="16">
        <f>IFERROR(SUMIF('NHẬP KHO'!$D$4:$D$23,B15,'NHẬP KHO'!$G$4:$G$23),0)</f>
        <v>0</v>
      </c>
      <c r="H15" s="11">
        <f>IFERROR(SUMIF('XUẤT KHO'!$D$4:$D$17,B15,'XUẤT KHO'!$G$4:$G$17),0)</f>
        <v>0</v>
      </c>
      <c r="I15" s="37">
        <f t="shared" si="1"/>
        <v>10</v>
      </c>
      <c r="J15" s="32">
        <v>5.0</v>
      </c>
      <c r="K15" s="32">
        <v>30.0</v>
      </c>
      <c r="L15" s="32" t="str">
        <f t="shared" si="2"/>
        <v>🟢 Bình thường</v>
      </c>
    </row>
    <row r="16" ht="19.5" customHeight="1">
      <c r="A16" s="9">
        <v>13.0</v>
      </c>
      <c r="B16" s="18" t="s">
        <v>107</v>
      </c>
      <c r="C16" s="10" t="s">
        <v>108</v>
      </c>
      <c r="D16" s="9" t="s">
        <v>97</v>
      </c>
      <c r="E16" s="9" t="s">
        <v>35</v>
      </c>
      <c r="F16" s="9">
        <v>4.0</v>
      </c>
      <c r="G16" s="16">
        <f>IFERROR(SUMIF('NHẬP KHO'!$D$4:$D$23,B16,'NHẬP KHO'!$G$4:$G$23),0)</f>
        <v>0</v>
      </c>
      <c r="H16" s="11">
        <f>IFERROR(SUMIF('XUẤT KHO'!$D$4:$D$17,B16,'XUẤT KHO'!$G$4:$G$17),0)</f>
        <v>0</v>
      </c>
      <c r="I16" s="29">
        <f t="shared" si="1"/>
        <v>4</v>
      </c>
      <c r="J16" s="9">
        <v>2.0</v>
      </c>
      <c r="K16" s="9">
        <v>15.0</v>
      </c>
      <c r="L16" s="9" t="str">
        <f t="shared" si="2"/>
        <v>🟢 Bình thường</v>
      </c>
    </row>
    <row r="17" ht="19.5" customHeight="1">
      <c r="A17" s="32">
        <v>14.0</v>
      </c>
      <c r="B17" s="33" t="s">
        <v>112</v>
      </c>
      <c r="C17" s="34" t="s">
        <v>113</v>
      </c>
      <c r="D17" s="32" t="s">
        <v>97</v>
      </c>
      <c r="E17" s="32" t="s">
        <v>35</v>
      </c>
      <c r="F17" s="32">
        <v>8.0</v>
      </c>
      <c r="G17" s="16">
        <f>IFERROR(SUMIF('NHẬP KHO'!$D$4:$D$23,B17,'NHẬP KHO'!$G$4:$G$23),0)</f>
        <v>0</v>
      </c>
      <c r="H17" s="11">
        <f>IFERROR(SUMIF('XUẤT KHO'!$D$4:$D$17,B17,'XUẤT KHO'!$G$4:$G$17),0)</f>
        <v>0</v>
      </c>
      <c r="I17" s="37">
        <f t="shared" si="1"/>
        <v>8</v>
      </c>
      <c r="J17" s="32">
        <v>5.0</v>
      </c>
      <c r="K17" s="32">
        <v>25.0</v>
      </c>
      <c r="L17" s="32" t="str">
        <f t="shared" si="2"/>
        <v>🟢 Bình thường</v>
      </c>
    </row>
    <row r="18" ht="19.5" customHeight="1">
      <c r="A18" s="9">
        <v>15.0</v>
      </c>
      <c r="B18" s="18" t="s">
        <v>116</v>
      </c>
      <c r="C18" s="10" t="s">
        <v>117</v>
      </c>
      <c r="D18" s="9" t="s">
        <v>118</v>
      </c>
      <c r="E18" s="9" t="s">
        <v>119</v>
      </c>
      <c r="F18" s="9">
        <v>50.0</v>
      </c>
      <c r="G18" s="16">
        <f>IFERROR(SUMIF('NHẬP KHO'!$D$4:$D$23,B18,'NHẬP KHO'!$G$4:$G$23),0)</f>
        <v>0</v>
      </c>
      <c r="H18" s="11">
        <f>IFERROR(SUMIF('XUẤT KHO'!$D$4:$D$17,B18,'XUẤT KHO'!$G$4:$G$17),0)</f>
        <v>0</v>
      </c>
      <c r="I18" s="29">
        <f t="shared" si="1"/>
        <v>50</v>
      </c>
      <c r="J18" s="9">
        <v>20.0</v>
      </c>
      <c r="K18" s="9">
        <v>200.0</v>
      </c>
      <c r="L18" s="9" t="str">
        <f t="shared" si="2"/>
        <v>🟢 Bình thường</v>
      </c>
    </row>
    <row r="19" ht="24.0" customHeight="1">
      <c r="A19" s="38" t="s">
        <v>142</v>
      </c>
      <c r="B19" s="39"/>
      <c r="C19" s="39"/>
      <c r="D19" s="39"/>
      <c r="E19" s="39"/>
      <c r="F19" s="42">
        <f t="shared" ref="F19:I19" si="3">SUM(F4:F18)</f>
        <v>893</v>
      </c>
      <c r="G19" s="42">
        <f t="shared" si="3"/>
        <v>545</v>
      </c>
      <c r="H19" s="42">
        <f t="shared" si="3"/>
        <v>72</v>
      </c>
      <c r="I19" s="42">
        <f t="shared" si="3"/>
        <v>1366</v>
      </c>
      <c r="J19" s="41"/>
      <c r="K19" s="41"/>
      <c r="L19" s="4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L1"/>
    <mergeCell ref="A2:L2"/>
    <mergeCell ref="A19:E19"/>
  </mergeCells>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2C6F"/>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18.0"/>
    <col customWidth="1" min="2" max="2" width="13.0"/>
    <col customWidth="1" min="3" max="5" width="14.0"/>
    <col customWidth="1" min="6" max="8" width="18.0"/>
    <col customWidth="1" min="9" max="26" width="8.71"/>
  </cols>
  <sheetData>
    <row r="1" ht="36.0" customHeight="1">
      <c r="A1" s="43" t="s">
        <v>144</v>
      </c>
      <c r="B1" s="2"/>
      <c r="C1" s="2"/>
      <c r="D1" s="2"/>
      <c r="E1" s="2"/>
      <c r="F1" s="2"/>
      <c r="G1" s="2"/>
      <c r="H1" s="2"/>
    </row>
    <row r="2" ht="18.0" customHeight="1">
      <c r="A2" s="4" t="s">
        <v>146</v>
      </c>
      <c r="B2" s="2"/>
      <c r="C2" s="2"/>
      <c r="D2" s="2"/>
      <c r="E2" s="2"/>
      <c r="F2" s="2"/>
      <c r="G2" s="2"/>
      <c r="H2" s="2"/>
    </row>
    <row r="3" ht="12.0" customHeight="1"/>
    <row r="4" ht="21.75" customHeight="1">
      <c r="A4" s="44" t="s">
        <v>147</v>
      </c>
      <c r="B4" s="45"/>
      <c r="C4" s="46" t="s">
        <v>148</v>
      </c>
      <c r="D4" s="45"/>
      <c r="E4" s="47" t="s">
        <v>149</v>
      </c>
      <c r="F4" s="45"/>
      <c r="G4" s="48" t="s">
        <v>150</v>
      </c>
      <c r="H4" s="45"/>
    </row>
    <row r="5" ht="21.75" customHeight="1">
      <c r="A5" s="49"/>
      <c r="C5" s="49"/>
      <c r="E5" s="49"/>
      <c r="G5" s="49"/>
    </row>
    <row r="6" ht="21.75" customHeight="1">
      <c r="A6" s="50">
        <f>IFERROR('NHẬP KHO'!I24,0)</f>
        <v>3339205000</v>
      </c>
      <c r="B6" s="2"/>
      <c r="C6" s="51">
        <f>IFERROR('XUẤT KHO'!I18,0)</f>
        <v>183195000</v>
      </c>
      <c r="D6" s="2"/>
      <c r="E6" s="52">
        <f>'TỒN KHO'!I19</f>
        <v>1366</v>
      </c>
      <c r="F6" s="2"/>
      <c r="G6" s="53">
        <f>COUNTIF('TỒN KHO'!L4:L18,"*Sắp*")+COUNTIF('TỒN KHO'!L4:L18,"*Hết*")</f>
        <v>1</v>
      </c>
      <c r="H6" s="2"/>
    </row>
    <row r="7" ht="21.75" customHeight="1">
      <c r="A7" s="54" t="s">
        <v>153</v>
      </c>
      <c r="B7" s="2"/>
      <c r="C7" s="54" t="s">
        <v>153</v>
      </c>
      <c r="D7" s="2"/>
      <c r="E7" s="54" t="s">
        <v>153</v>
      </c>
      <c r="F7" s="2"/>
      <c r="G7" s="54" t="s">
        <v>153</v>
      </c>
      <c r="H7" s="2"/>
    </row>
    <row r="8" ht="21.75" customHeight="1"/>
    <row r="9" ht="15.75" customHeight="1"/>
    <row r="10" ht="25.5" customHeight="1">
      <c r="A10" s="55" t="s">
        <v>154</v>
      </c>
      <c r="B10" s="2"/>
      <c r="C10" s="2"/>
      <c r="D10" s="2"/>
      <c r="E10" s="2"/>
      <c r="F10" s="2"/>
      <c r="G10" s="2"/>
      <c r="H10" s="2"/>
    </row>
    <row r="11" ht="27.75" customHeight="1">
      <c r="A11" s="56" t="s">
        <v>14</v>
      </c>
      <c r="B11" s="56" t="s">
        <v>155</v>
      </c>
      <c r="C11" s="56" t="s">
        <v>156</v>
      </c>
      <c r="D11" s="56" t="s">
        <v>157</v>
      </c>
      <c r="E11" s="56" t="s">
        <v>158</v>
      </c>
      <c r="F11" s="56" t="s">
        <v>159</v>
      </c>
      <c r="G11" s="56" t="s">
        <v>160</v>
      </c>
      <c r="H11" s="56" t="s">
        <v>161</v>
      </c>
    </row>
    <row r="12" ht="19.5" customHeight="1">
      <c r="A12" s="57" t="s">
        <v>34</v>
      </c>
      <c r="B12" s="58">
        <f>COUNTIF('DANH MỤC'!$C$4:$C$18,A12)</f>
        <v>7</v>
      </c>
      <c r="C12" s="58">
        <f>IFERROR(SUMPRODUCT(('TỒN KHO'!$D$4:$D$18=A12)*'TỒN KHO'!$G$4:$G$18),0)</f>
        <v>356</v>
      </c>
      <c r="D12" s="58">
        <f>IFERROR(SUMPRODUCT(('TỒN KHO'!$D$4:$D$18=A12)*'TỒN KHO'!$H$4:$H$18),0)</f>
        <v>28</v>
      </c>
      <c r="E12" s="32">
        <f>IFERROR(SUMPRODUCT(('TỒN KHO'!$D$4:$D$18=A12)*'TỒN KHO'!$I$4:$I$18),0)</f>
        <v>513</v>
      </c>
      <c r="F12" s="28">
        <f>IFERROR(SUMPRODUCT(('DANH MỤC'!$C$4:$C$18=A12)*('TỒN KHO'!$G$4:$G$18)*'DANH MỤC'!$E$4:$E$18),0)</f>
        <v>3331280000</v>
      </c>
      <c r="G12" s="26">
        <f>IFERROR(SUMPRODUCT(('DANH MỤC'!$C$4:$C$18=A12)*('TỒN KHO'!$H$4:$H$18)*'DANH MỤC'!$F$4:$F$18),0)</f>
        <v>108440000</v>
      </c>
      <c r="H12" s="58" t="str">
        <f t="shared" ref="H12:H15" si="1">IF(D12&gt;C12,"📉 Xuất &gt; Nhập",IF(E12&gt;0,"✅ Còn hàng","❌ Hết hàng"))</f>
        <v>✅ Còn hàng</v>
      </c>
    </row>
    <row r="13" ht="19.5" customHeight="1">
      <c r="A13" s="59" t="s">
        <v>68</v>
      </c>
      <c r="B13" s="9">
        <f>COUNTIF('DANH MỤC'!$C$4:$C$18,A13)</f>
        <v>3</v>
      </c>
      <c r="C13" s="9">
        <f>IFERROR(SUMPRODUCT(('TỒN KHO'!$D$4:$D$18=A13)*'TỒN KHO'!$G$4:$G$18),0)</f>
        <v>189</v>
      </c>
      <c r="D13" s="9">
        <f>IFERROR(SUMPRODUCT(('TỒN KHO'!$D$4:$D$18=A13)*'TỒN KHO'!$H$4:$H$18),0)</f>
        <v>23</v>
      </c>
      <c r="E13" s="32">
        <f>IFERROR(SUMPRODUCT(('TỒN KHO'!$D$4:$D$18=A13)*'TỒN KHO'!$I$4:$I$18),0)</f>
        <v>796</v>
      </c>
      <c r="F13" s="28">
        <f>IFERROR(SUMPRODUCT(('DANH MỤC'!$C$4:$C$18=A13)*('TỒN KHO'!$G$4:$G$18)*'DANH MỤC'!$E$4:$E$18),0)</f>
        <v>7925000</v>
      </c>
      <c r="G13" s="26">
        <f>IFERROR(SUMPRODUCT(('DANH MỤC'!$C$4:$C$18=A13)*('TỒN KHO'!$H$4:$H$18)*'DANH MỤC'!$F$4:$F$18),0)</f>
        <v>1255000</v>
      </c>
      <c r="H13" s="9" t="str">
        <f t="shared" si="1"/>
        <v>✅ Còn hàng</v>
      </c>
    </row>
    <row r="14" ht="19.5" customHeight="1">
      <c r="A14" s="57" t="s">
        <v>97</v>
      </c>
      <c r="B14" s="58">
        <f>COUNTIF('DANH MỤC'!$C$4:$C$18,A14)</f>
        <v>4</v>
      </c>
      <c r="C14" s="58">
        <f>IFERROR(SUMPRODUCT(('TỒN KHO'!$D$4:$D$18=A14)*'TỒN KHO'!$G$4:$G$18),0)</f>
        <v>0</v>
      </c>
      <c r="D14" s="58">
        <f>IFERROR(SUMPRODUCT(('TỒN KHO'!$D$4:$D$18=A14)*'TỒN KHO'!$H$4:$H$18),0)</f>
        <v>21</v>
      </c>
      <c r="E14" s="32">
        <f>IFERROR(SUMPRODUCT(('TỒN KHO'!$D$4:$D$18=A14)*'TỒN KHO'!$I$4:$I$18),0)</f>
        <v>7</v>
      </c>
      <c r="F14" s="28">
        <f>IFERROR(SUMPRODUCT(('DANH MỤC'!$C$4:$C$18=A14)*('TỒN KHO'!$G$4:$G$18)*'DANH MỤC'!$E$4:$E$18),0)</f>
        <v>0</v>
      </c>
      <c r="G14" s="26">
        <f>IFERROR(SUMPRODUCT(('DANH MỤC'!$C$4:$C$18=A14)*('TỒN KHO'!$H$4:$H$18)*'DANH MỤC'!$F$4:$F$18),0)</f>
        <v>73500000</v>
      </c>
      <c r="H14" s="58" t="str">
        <f t="shared" si="1"/>
        <v>📉 Xuất &gt; Nhập</v>
      </c>
    </row>
    <row r="15" ht="19.5" customHeight="1">
      <c r="A15" s="59" t="s">
        <v>118</v>
      </c>
      <c r="B15" s="9">
        <f>COUNTIF('DANH MỤC'!$C$4:$C$18,A15)</f>
        <v>1</v>
      </c>
      <c r="C15" s="9">
        <f>IFERROR(SUMPRODUCT(('TỒN KHO'!$D$4:$D$18=A15)*'TỒN KHO'!$G$4:$G$18),0)</f>
        <v>0</v>
      </c>
      <c r="D15" s="9">
        <f>IFERROR(SUMPRODUCT(('TỒN KHO'!$D$4:$D$18=A15)*'TỒN KHO'!$H$4:$H$18),0)</f>
        <v>0</v>
      </c>
      <c r="E15" s="32">
        <f>IFERROR(SUMPRODUCT(('TỒN KHO'!$D$4:$D$18=A15)*'TỒN KHO'!$I$4:$I$18),0)</f>
        <v>50</v>
      </c>
      <c r="F15" s="28">
        <f>IFERROR(SUMPRODUCT(('DANH MỤC'!$C$4:$C$18=A15)*('TỒN KHO'!$G$4:$G$18)*'DANH MỤC'!$E$4:$E$18),0)</f>
        <v>0</v>
      </c>
      <c r="G15" s="26">
        <f>IFERROR(SUMPRODUCT(('DANH MỤC'!$C$4:$C$18=A15)*('TỒN KHO'!$H$4:$H$18)*'DANH MỤC'!$F$4:$F$18),0)</f>
        <v>0</v>
      </c>
      <c r="H15" s="9" t="str">
        <f t="shared" si="1"/>
        <v>✅ Còn hàng</v>
      </c>
    </row>
    <row r="16" ht="24.0" customHeight="1">
      <c r="A16" s="42" t="s">
        <v>162</v>
      </c>
      <c r="B16" s="60">
        <f t="shared" ref="B16:G16" si="2">SUM(B12:B15)</f>
        <v>15</v>
      </c>
      <c r="C16" s="60">
        <f t="shared" si="2"/>
        <v>545</v>
      </c>
      <c r="D16" s="60">
        <f t="shared" si="2"/>
        <v>72</v>
      </c>
      <c r="E16" s="60">
        <f t="shared" si="2"/>
        <v>1366</v>
      </c>
      <c r="F16" s="40">
        <f t="shared" si="2"/>
        <v>3339205000</v>
      </c>
      <c r="G16" s="40">
        <f t="shared" si="2"/>
        <v>183195000</v>
      </c>
      <c r="H16" s="41"/>
    </row>
    <row r="17" ht="15.75" customHeight="1"/>
    <row r="18" ht="25.5" customHeight="1">
      <c r="A18" s="61" t="s">
        <v>163</v>
      </c>
      <c r="B18" s="2"/>
      <c r="C18" s="2"/>
      <c r="D18" s="2"/>
      <c r="E18" s="2"/>
      <c r="F18" s="2"/>
      <c r="G18" s="2"/>
      <c r="H18" s="2"/>
    </row>
    <row r="19" ht="24.0" customHeight="1">
      <c r="A19" s="5" t="s">
        <v>9</v>
      </c>
      <c r="B19" s="5" t="s">
        <v>11</v>
      </c>
      <c r="C19" s="5" t="s">
        <v>38</v>
      </c>
      <c r="D19" s="5" t="s">
        <v>39</v>
      </c>
      <c r="E19" s="5" t="s">
        <v>165</v>
      </c>
      <c r="F19" s="5" t="s">
        <v>14</v>
      </c>
      <c r="G19" s="5" t="s">
        <v>166</v>
      </c>
      <c r="H19" s="5" t="s">
        <v>43</v>
      </c>
    </row>
    <row r="20" ht="19.5" customHeight="1">
      <c r="A20" s="14" t="str">
        <f>'TỒN KHO'!B4</f>
        <v>HH001</v>
      </c>
      <c r="B20" s="23" t="str">
        <f>'TỒN KHO'!C4</f>
        <v>Máy tính xách tay Dell</v>
      </c>
      <c r="C20" s="11">
        <f>'TỒN KHO'!I4</f>
        <v>179</v>
      </c>
      <c r="D20" s="11">
        <f>'TỒN KHO'!J4</f>
        <v>5</v>
      </c>
      <c r="E20" s="14">
        <f t="shared" ref="E20:E34" si="3">MAX(0,D20-C20)</f>
        <v>0</v>
      </c>
      <c r="F20" s="11" t="str">
        <f>'DANH MỤC'!C4</f>
        <v>Điện tử</v>
      </c>
      <c r="G20" s="11" t="str">
        <f>'DANH MỤC'!I4</f>
        <v>A-01</v>
      </c>
      <c r="H20" s="11" t="str">
        <f>'TỒN KHO'!L4</f>
        <v>🔵 Quá tồn</v>
      </c>
    </row>
    <row r="21" ht="19.5" customHeight="1">
      <c r="A21" s="31" t="str">
        <f>'TỒN KHO'!B5</f>
        <v>HH002</v>
      </c>
      <c r="B21" s="10" t="str">
        <f>'TỒN KHO'!C5</f>
        <v>Chuột không dây Logitech</v>
      </c>
      <c r="C21" s="9">
        <f>'TỒN KHO'!I5</f>
        <v>170</v>
      </c>
      <c r="D21" s="9">
        <f>'TỒN KHO'!J5</f>
        <v>20</v>
      </c>
      <c r="E21" s="31">
        <f t="shared" si="3"/>
        <v>0</v>
      </c>
      <c r="F21" s="9" t="str">
        <f>'DANH MỤC'!C5</f>
        <v>Điện tử</v>
      </c>
      <c r="G21" s="9" t="str">
        <f>'DANH MỤC'!I5</f>
        <v>A-02</v>
      </c>
      <c r="H21" s="9" t="str">
        <f>'TỒN KHO'!L5</f>
        <v>🟢 Bình thường</v>
      </c>
    </row>
    <row r="22" ht="19.5" customHeight="1">
      <c r="A22" s="14" t="str">
        <f>'TỒN KHO'!B6</f>
        <v>HH003</v>
      </c>
      <c r="B22" s="23" t="str">
        <f>'TỒN KHO'!C6</f>
        <v>Bàn phím cơ Corsair</v>
      </c>
      <c r="C22" s="11">
        <f>'TỒN KHO'!I6</f>
        <v>41</v>
      </c>
      <c r="D22" s="11">
        <f>'TỒN KHO'!J6</f>
        <v>10</v>
      </c>
      <c r="E22" s="14">
        <f t="shared" si="3"/>
        <v>0</v>
      </c>
      <c r="F22" s="11" t="str">
        <f>'DANH MỤC'!C6</f>
        <v>Điện tử</v>
      </c>
      <c r="G22" s="11" t="str">
        <f>'DANH MỤC'!I6</f>
        <v>A-03</v>
      </c>
      <c r="H22" s="11" t="str">
        <f>'TỒN KHO'!L6</f>
        <v>🟢 Bình thường</v>
      </c>
    </row>
    <row r="23" ht="19.5" customHeight="1">
      <c r="A23" s="31" t="str">
        <f>'TỒN KHO'!B7</f>
        <v>HH004</v>
      </c>
      <c r="B23" s="10" t="str">
        <f>'TỒN KHO'!C7</f>
        <v>Màn hình Samsung 24"</v>
      </c>
      <c r="C23" s="9">
        <f>'TỒN KHO'!I7</f>
        <v>12</v>
      </c>
      <c r="D23" s="9">
        <f>'TỒN KHO'!J7</f>
        <v>5</v>
      </c>
      <c r="E23" s="31">
        <f t="shared" si="3"/>
        <v>0</v>
      </c>
      <c r="F23" s="9" t="str">
        <f>'DANH MỤC'!C7</f>
        <v>Điện tử</v>
      </c>
      <c r="G23" s="9" t="str">
        <f>'DANH MỤC'!I7</f>
        <v>A-04</v>
      </c>
      <c r="H23" s="9" t="str">
        <f>'TỒN KHO'!L7</f>
        <v>🟢 Bình thường</v>
      </c>
    </row>
    <row r="24" ht="19.5" customHeight="1">
      <c r="A24" s="14" t="str">
        <f>'TỒN KHO'!B8</f>
        <v>HH005</v>
      </c>
      <c r="B24" s="23" t="str">
        <f>'TỒN KHO'!C8</f>
        <v>Tai nghe Sony WH-1000</v>
      </c>
      <c r="C24" s="11">
        <f>'TỒN KHO'!I8</f>
        <v>15</v>
      </c>
      <c r="D24" s="11">
        <f>'TỒN KHO'!J8</f>
        <v>8</v>
      </c>
      <c r="E24" s="14">
        <f t="shared" si="3"/>
        <v>0</v>
      </c>
      <c r="F24" s="11" t="str">
        <f>'DANH MỤC'!C8</f>
        <v>Điện tử</v>
      </c>
      <c r="G24" s="11" t="str">
        <f>'DANH MỤC'!I8</f>
        <v>A-05</v>
      </c>
      <c r="H24" s="11" t="str">
        <f>'TỒN KHO'!L8</f>
        <v>🟢 Bình thường</v>
      </c>
    </row>
    <row r="25" ht="19.5" customHeight="1">
      <c r="A25" s="31" t="str">
        <f>'TỒN KHO'!B9</f>
        <v>HH006</v>
      </c>
      <c r="B25" s="10" t="str">
        <f>'TỒN KHO'!C9</f>
        <v>Giấy A4 Double A (ream)</v>
      </c>
      <c r="C25" s="9">
        <f>'TỒN KHO'!I9</f>
        <v>271</v>
      </c>
      <c r="D25" s="9">
        <f>'TỒN KHO'!J9</f>
        <v>50</v>
      </c>
      <c r="E25" s="31">
        <f t="shared" si="3"/>
        <v>0</v>
      </c>
      <c r="F25" s="9" t="str">
        <f>'DANH MỤC'!C9</f>
        <v>Văn phòng phẩm</v>
      </c>
      <c r="G25" s="9" t="str">
        <f>'DANH MỤC'!I9</f>
        <v>B-01</v>
      </c>
      <c r="H25" s="9" t="str">
        <f>'TỒN KHO'!L9</f>
        <v>🟢 Bình thường</v>
      </c>
    </row>
    <row r="26" ht="19.5" customHeight="1">
      <c r="A26" s="14" t="str">
        <f>'TỒN KHO'!B10</f>
        <v>HH007</v>
      </c>
      <c r="B26" s="23" t="str">
        <f>'TỒN KHO'!C10</f>
        <v>Bút bi Thiên Long</v>
      </c>
      <c r="C26" s="11">
        <f>'TỒN KHO'!I10</f>
        <v>445</v>
      </c>
      <c r="D26" s="11">
        <f>'TỒN KHO'!J10</f>
        <v>100</v>
      </c>
      <c r="E26" s="14">
        <f t="shared" si="3"/>
        <v>0</v>
      </c>
      <c r="F26" s="11" t="str">
        <f>'DANH MỤC'!C10</f>
        <v>Văn phòng phẩm</v>
      </c>
      <c r="G26" s="11" t="str">
        <f>'DANH MỤC'!I10</f>
        <v>B-02</v>
      </c>
      <c r="H26" s="11" t="str">
        <f>'TỒN KHO'!L10</f>
        <v>🟢 Bình thường</v>
      </c>
    </row>
    <row r="27" ht="19.5" customHeight="1">
      <c r="A27" s="31" t="str">
        <f>'TỒN KHO'!B11</f>
        <v>HH008</v>
      </c>
      <c r="B27" s="10" t="str">
        <f>'TỒN KHO'!C11</f>
        <v>Hộp đựng tài liệu</v>
      </c>
      <c r="C27" s="9">
        <f>'TỒN KHO'!I11</f>
        <v>80</v>
      </c>
      <c r="D27" s="9">
        <f>'TỒN KHO'!J11</f>
        <v>30</v>
      </c>
      <c r="E27" s="31">
        <f t="shared" si="3"/>
        <v>0</v>
      </c>
      <c r="F27" s="9" t="str">
        <f>'DANH MỤC'!C11</f>
        <v>Văn phòng phẩm</v>
      </c>
      <c r="G27" s="9" t="str">
        <f>'DANH MỤC'!I11</f>
        <v>B-03</v>
      </c>
      <c r="H27" s="9" t="str">
        <f>'TỒN KHO'!L11</f>
        <v>🟢 Bình thường</v>
      </c>
    </row>
    <row r="28" ht="19.5" customHeight="1">
      <c r="A28" s="14" t="str">
        <f>'TỒN KHO'!B12</f>
        <v>HH009</v>
      </c>
      <c r="B28" s="23" t="str">
        <f>'TỒN KHO'!C12</f>
        <v>Mực in HP 85A</v>
      </c>
      <c r="C28" s="11">
        <f>'TỒN KHO'!I12</f>
        <v>25</v>
      </c>
      <c r="D28" s="11">
        <f>'TỒN KHO'!J12</f>
        <v>10</v>
      </c>
      <c r="E28" s="14">
        <f t="shared" si="3"/>
        <v>0</v>
      </c>
      <c r="F28" s="11" t="str">
        <f>'DANH MỤC'!C12</f>
        <v>Điện tử</v>
      </c>
      <c r="G28" s="11" t="str">
        <f>'DANH MỤC'!I12</f>
        <v>A-06</v>
      </c>
      <c r="H28" s="11" t="str">
        <f>'TỒN KHO'!L12</f>
        <v>🟢 Bình thường</v>
      </c>
    </row>
    <row r="29" ht="19.5" customHeight="1">
      <c r="A29" s="31" t="str">
        <f>'TỒN KHO'!B13</f>
        <v>HH010</v>
      </c>
      <c r="B29" s="10" t="str">
        <f>'TỒN KHO'!C13</f>
        <v>USB Kingston 64GB</v>
      </c>
      <c r="C29" s="9">
        <f>'TỒN KHO'!I13</f>
        <v>71</v>
      </c>
      <c r="D29" s="9">
        <f>'TỒN KHO'!J13</f>
        <v>20</v>
      </c>
      <c r="E29" s="31">
        <f t="shared" si="3"/>
        <v>0</v>
      </c>
      <c r="F29" s="9" t="str">
        <f>'DANH MỤC'!C13</f>
        <v>Điện tử</v>
      </c>
      <c r="G29" s="9" t="str">
        <f>'DANH MỤC'!I13</f>
        <v>A-07</v>
      </c>
      <c r="H29" s="9" t="str">
        <f>'TỒN KHO'!L13</f>
        <v>🟢 Bình thường</v>
      </c>
    </row>
    <row r="30" ht="19.5" customHeight="1">
      <c r="A30" s="14" t="str">
        <f>'TỒN KHO'!B14</f>
        <v>HH011</v>
      </c>
      <c r="B30" s="23" t="str">
        <f>'TỒN KHO'!C14</f>
        <v>Bàn làm việc gỗ</v>
      </c>
      <c r="C30" s="11">
        <f>'TỒN KHO'!I14</f>
        <v>-15</v>
      </c>
      <c r="D30" s="11">
        <f>'TỒN KHO'!J14</f>
        <v>3</v>
      </c>
      <c r="E30" s="14">
        <f t="shared" si="3"/>
        <v>18</v>
      </c>
      <c r="F30" s="11" t="str">
        <f>'DANH MỤC'!C14</f>
        <v>Nội thất</v>
      </c>
      <c r="G30" s="11" t="str">
        <f>'DANH MỤC'!I14</f>
        <v>C-01</v>
      </c>
      <c r="H30" s="11" t="str">
        <f>'TỒN KHO'!L14</f>
        <v>🔴 Hết hàng</v>
      </c>
    </row>
    <row r="31" ht="19.5" customHeight="1">
      <c r="A31" s="31" t="str">
        <f>'TỒN KHO'!B15</f>
        <v>HH012</v>
      </c>
      <c r="B31" s="10" t="str">
        <f>'TỒN KHO'!C15</f>
        <v>Ghế văn phòng</v>
      </c>
      <c r="C31" s="9">
        <f>'TỒN KHO'!I15</f>
        <v>10</v>
      </c>
      <c r="D31" s="9">
        <f>'TỒN KHO'!J15</f>
        <v>5</v>
      </c>
      <c r="E31" s="31">
        <f t="shared" si="3"/>
        <v>0</v>
      </c>
      <c r="F31" s="9" t="str">
        <f>'DANH MỤC'!C15</f>
        <v>Nội thất</v>
      </c>
      <c r="G31" s="9" t="str">
        <f>'DANH MỤC'!I15</f>
        <v>C-02</v>
      </c>
      <c r="H31" s="9" t="str">
        <f>'TỒN KHO'!L15</f>
        <v>🟢 Bình thường</v>
      </c>
    </row>
    <row r="32" ht="19.5" customHeight="1">
      <c r="A32" s="14" t="str">
        <f>'TỒN KHO'!B16</f>
        <v>HH013</v>
      </c>
      <c r="B32" s="23" t="str">
        <f>'TỒN KHO'!C16</f>
        <v>Tủ đựng hồ sơ sắt</v>
      </c>
      <c r="C32" s="11">
        <f>'TỒN KHO'!I16</f>
        <v>4</v>
      </c>
      <c r="D32" s="11">
        <f>'TỒN KHO'!J16</f>
        <v>2</v>
      </c>
      <c r="E32" s="14">
        <f t="shared" si="3"/>
        <v>0</v>
      </c>
      <c r="F32" s="11" t="str">
        <f>'DANH MỤC'!C16</f>
        <v>Nội thất</v>
      </c>
      <c r="G32" s="11" t="str">
        <f>'DANH MỤC'!I16</f>
        <v>C-03</v>
      </c>
      <c r="H32" s="11" t="str">
        <f>'TỒN KHO'!L16</f>
        <v>🟢 Bình thường</v>
      </c>
    </row>
    <row r="33" ht="19.5" customHeight="1">
      <c r="A33" s="31" t="str">
        <f>'TỒN KHO'!B17</f>
        <v>HH014</v>
      </c>
      <c r="B33" s="10" t="str">
        <f>'TỒN KHO'!C17</f>
        <v>Bảng trắng từ tính</v>
      </c>
      <c r="C33" s="9">
        <f>'TỒN KHO'!I17</f>
        <v>8</v>
      </c>
      <c r="D33" s="9">
        <f>'TỒN KHO'!J17</f>
        <v>5</v>
      </c>
      <c r="E33" s="31">
        <f t="shared" si="3"/>
        <v>0</v>
      </c>
      <c r="F33" s="9" t="str">
        <f>'DANH MỤC'!C17</f>
        <v>Nội thất</v>
      </c>
      <c r="G33" s="9" t="str">
        <f>'DANH MỤC'!I17</f>
        <v>C-04</v>
      </c>
      <c r="H33" s="9" t="str">
        <f>'TỒN KHO'!L17</f>
        <v>🟢 Bình thường</v>
      </c>
    </row>
    <row r="34" ht="19.5" customHeight="1">
      <c r="A34" s="14" t="str">
        <f>'TỒN KHO'!B18</f>
        <v>HH015</v>
      </c>
      <c r="B34" s="23" t="str">
        <f>'TỒN KHO'!C18</f>
        <v>Nước uống đóng bình</v>
      </c>
      <c r="C34" s="11">
        <f>'TỒN KHO'!I18</f>
        <v>50</v>
      </c>
      <c r="D34" s="11">
        <f>'TỒN KHO'!J18</f>
        <v>20</v>
      </c>
      <c r="E34" s="14">
        <f t="shared" si="3"/>
        <v>0</v>
      </c>
      <c r="F34" s="11" t="str">
        <f>'DANH MỤC'!C18</f>
        <v>Tiêu dùng</v>
      </c>
      <c r="G34" s="11" t="str">
        <f>'DANH MỤC'!I18</f>
        <v>D-01</v>
      </c>
      <c r="H34" s="11" t="str">
        <f>'TỒN KHO'!L18</f>
        <v>🟢 Bình thường</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C6:D6"/>
    <mergeCell ref="E6:F6"/>
    <mergeCell ref="A6:B6"/>
    <mergeCell ref="A7:B7"/>
    <mergeCell ref="C7:D7"/>
    <mergeCell ref="E7:F7"/>
    <mergeCell ref="G7:H7"/>
    <mergeCell ref="A10:H10"/>
    <mergeCell ref="A18:H18"/>
    <mergeCell ref="A1:H1"/>
    <mergeCell ref="A2:H2"/>
    <mergeCell ref="A4:B5"/>
    <mergeCell ref="C4:D5"/>
    <mergeCell ref="E4:F5"/>
    <mergeCell ref="G4:H5"/>
    <mergeCell ref="G6:H6"/>
  </mergeCells>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48100"/>
    <pageSetUpPr/>
  </sheetPr>
  <sheetViews>
    <sheetView workbookViewId="0"/>
  </sheetViews>
  <sheetFormatPr customHeight="1" defaultColWidth="14.43" defaultRowHeight="15.0"/>
  <cols>
    <col customWidth="1" min="1" max="14" width="10.0"/>
    <col customWidth="1" min="15" max="15" width="8.71"/>
    <col customWidth="1" min="16" max="26" width="18.0"/>
  </cols>
  <sheetData>
    <row r="1" ht="42.0" customHeight="1">
      <c r="A1" s="66" t="s">
        <v>192</v>
      </c>
      <c r="B1" s="2"/>
      <c r="C1" s="2"/>
      <c r="D1" s="2"/>
      <c r="E1" s="2"/>
      <c r="F1" s="2"/>
      <c r="G1" s="2"/>
      <c r="H1" s="2"/>
      <c r="I1" s="2"/>
      <c r="J1" s="2"/>
      <c r="K1" s="2"/>
      <c r="L1" s="2"/>
      <c r="M1" s="2"/>
      <c r="N1" s="2"/>
      <c r="P1" s="67" t="s">
        <v>193</v>
      </c>
      <c r="Q1" s="67" t="s">
        <v>194</v>
      </c>
      <c r="R1" s="67" t="s">
        <v>195</v>
      </c>
      <c r="S1" s="67" t="s">
        <v>196</v>
      </c>
      <c r="V1" s="67" t="s">
        <v>197</v>
      </c>
      <c r="W1" s="67" t="s">
        <v>198</v>
      </c>
      <c r="X1" s="67" t="s">
        <v>197</v>
      </c>
      <c r="Y1" s="67" t="s">
        <v>199</v>
      </c>
      <c r="Z1" s="67" t="s">
        <v>200</v>
      </c>
    </row>
    <row r="2" ht="19.5" customHeight="1">
      <c r="A2" s="4" t="s">
        <v>201</v>
      </c>
      <c r="B2" s="2"/>
      <c r="C2" s="2"/>
      <c r="D2" s="2"/>
      <c r="E2" s="2"/>
      <c r="F2" s="2"/>
      <c r="G2" s="2"/>
      <c r="H2" s="2"/>
      <c r="I2" s="2"/>
      <c r="J2" s="2"/>
      <c r="K2" s="2"/>
      <c r="L2" s="2"/>
      <c r="M2" s="2"/>
      <c r="N2" s="2"/>
      <c r="P2" s="68" t="str">
        <f>'TỒN KHO'!C4</f>
        <v>Máy tính xách tay Dell</v>
      </c>
      <c r="Q2" s="67">
        <f>'TỒN KHO'!I4</f>
        <v>179</v>
      </c>
      <c r="R2" s="67">
        <f>'TỒN KHO'!G4</f>
        <v>175</v>
      </c>
      <c r="S2" s="67">
        <f>'TỒN KHO'!H4</f>
        <v>4</v>
      </c>
      <c r="V2" s="67" t="s">
        <v>34</v>
      </c>
      <c r="W2" s="67">
        <f>'BÁO CÁO'!E12</f>
        <v>513</v>
      </c>
      <c r="X2" s="67" t="s">
        <v>34</v>
      </c>
      <c r="Y2" s="69">
        <f>'BÁO CÁO'!F12</f>
        <v>3331280000</v>
      </c>
      <c r="Z2" s="69">
        <f>'BÁO CÁO'!G12</f>
        <v>108440000</v>
      </c>
    </row>
    <row r="3" ht="13.5" customHeight="1">
      <c r="P3" s="68" t="str">
        <f>'TỒN KHO'!C5</f>
        <v>Chuột không dây Logitech</v>
      </c>
      <c r="Q3" s="68">
        <f>'TỒN KHO'!I5</f>
        <v>170</v>
      </c>
      <c r="R3" s="68">
        <f>'TỒN KHO'!G5</f>
        <v>132</v>
      </c>
      <c r="S3" s="68">
        <f>'TỒN KHO'!H5</f>
        <v>7</v>
      </c>
      <c r="V3" s="68" t="s">
        <v>68</v>
      </c>
      <c r="W3" s="68">
        <f>'BÁO CÁO'!E13</f>
        <v>796</v>
      </c>
      <c r="X3" s="68" t="s">
        <v>68</v>
      </c>
      <c r="Y3" s="69">
        <f>'BÁO CÁO'!F13</f>
        <v>7925000</v>
      </c>
      <c r="Z3" s="69">
        <f>'BÁO CÁO'!G13</f>
        <v>1255000</v>
      </c>
    </row>
    <row r="4" ht="21.75" customHeight="1">
      <c r="A4" s="70" t="s">
        <v>202</v>
      </c>
      <c r="B4" s="45"/>
      <c r="C4" s="44" t="s">
        <v>203</v>
      </c>
      <c r="D4" s="45"/>
      <c r="E4" s="46" t="s">
        <v>204</v>
      </c>
      <c r="F4" s="45"/>
      <c r="G4" s="47" t="s">
        <v>158</v>
      </c>
      <c r="H4" s="45"/>
      <c r="I4" s="71" t="s">
        <v>205</v>
      </c>
      <c r="J4" s="45"/>
      <c r="K4" s="46" t="s">
        <v>206</v>
      </c>
      <c r="L4" s="45"/>
      <c r="M4" s="72" t="s">
        <v>207</v>
      </c>
      <c r="N4" s="45"/>
      <c r="P4" s="68" t="str">
        <f>'TỒN KHO'!C6</f>
        <v>Bàn phím cơ Corsair</v>
      </c>
      <c r="Q4" s="67">
        <f>'TỒN KHO'!I6</f>
        <v>41</v>
      </c>
      <c r="R4" s="67">
        <f>'TỒN KHO'!G6</f>
        <v>38</v>
      </c>
      <c r="S4" s="67">
        <f>'TỒN KHO'!H6</f>
        <v>17</v>
      </c>
      <c r="V4" s="67" t="s">
        <v>97</v>
      </c>
      <c r="W4" s="67">
        <f>'BÁO CÁO'!E14</f>
        <v>7</v>
      </c>
      <c r="X4" s="67" t="s">
        <v>97</v>
      </c>
      <c r="Y4" s="69">
        <f>'BÁO CÁO'!F14</f>
        <v>0</v>
      </c>
      <c r="Z4" s="69">
        <f>'BÁO CÁO'!G14</f>
        <v>73500000</v>
      </c>
    </row>
    <row r="5" ht="21.75" customHeight="1">
      <c r="A5" s="49"/>
      <c r="C5" s="49"/>
      <c r="E5" s="49"/>
      <c r="G5" s="49"/>
      <c r="I5" s="49"/>
      <c r="K5" s="49"/>
      <c r="M5" s="49"/>
      <c r="P5" s="68" t="str">
        <f>'TỒN KHO'!C7</f>
        <v>Màn hình Samsung 24"</v>
      </c>
      <c r="Q5" s="67">
        <f>'TỒN KHO'!I7</f>
        <v>12</v>
      </c>
      <c r="R5" s="67">
        <f>'TỒN KHO'!G7</f>
        <v>0</v>
      </c>
      <c r="S5" s="67">
        <f>'TỒN KHO'!H7</f>
        <v>0</v>
      </c>
      <c r="V5" s="67" t="s">
        <v>118</v>
      </c>
      <c r="W5" s="67">
        <f>'BÁO CÁO'!E15</f>
        <v>50</v>
      </c>
      <c r="X5" s="67" t="s">
        <v>118</v>
      </c>
      <c r="Y5" s="69">
        <f>'BÁO CÁO'!F15</f>
        <v>0</v>
      </c>
      <c r="Z5" s="69">
        <f>'BÁO CÁO'!G15</f>
        <v>0</v>
      </c>
    </row>
    <row r="6" ht="21.75" customHeight="1">
      <c r="A6" s="73">
        <f>COUNTA('danh_mục'!A4:A18)</f>
        <v>1</v>
      </c>
      <c r="B6" s="2"/>
      <c r="C6" s="74">
        <f>'NHẬP KHO'!I24</f>
        <v>3339205000</v>
      </c>
      <c r="D6" s="2"/>
      <c r="E6" s="75">
        <f>'XUẤT KHO'!I18</f>
        <v>183195000</v>
      </c>
      <c r="F6" s="2"/>
      <c r="G6" s="76">
        <f>'TỒN KHO'!I19</f>
        <v>1366</v>
      </c>
      <c r="H6" s="2"/>
      <c r="I6" s="77">
        <f>COUNTIF('TỒN KHO'!L4:L18,"*Sắp*")</f>
        <v>0</v>
      </c>
      <c r="J6" s="2"/>
      <c r="K6" s="78">
        <f>COUNTIF('TỒN KHO'!L4:L18,"*Hết hàng*")</f>
        <v>1</v>
      </c>
      <c r="L6" s="2"/>
      <c r="M6" s="79">
        <f>COUNTIF('TỒN KHO'!L4:L18,"*Quá tồn*")</f>
        <v>1</v>
      </c>
      <c r="N6" s="2"/>
      <c r="P6" s="68" t="str">
        <f>'TỒN KHO'!C8</f>
        <v>Tai nghe Sony WH-1000</v>
      </c>
      <c r="Q6" s="67">
        <f>'TỒN KHO'!I8</f>
        <v>15</v>
      </c>
      <c r="R6" s="67">
        <f>'TỒN KHO'!G8</f>
        <v>0</v>
      </c>
      <c r="S6" s="67">
        <f>'TỒN KHO'!H8</f>
        <v>0</v>
      </c>
    </row>
    <row r="7" ht="21.75" customHeight="1">
      <c r="A7" s="54"/>
      <c r="B7" s="2"/>
      <c r="C7" s="54"/>
      <c r="D7" s="2"/>
      <c r="E7" s="54"/>
      <c r="F7" s="2"/>
      <c r="G7" s="54"/>
      <c r="H7" s="2"/>
      <c r="I7" s="54"/>
      <c r="J7" s="2"/>
      <c r="K7" s="54"/>
      <c r="L7" s="2"/>
      <c r="M7" s="54"/>
      <c r="N7" s="2"/>
      <c r="P7" s="68" t="str">
        <f>'TỒN KHO'!C9</f>
        <v>Giấy A4 Double A (ream)</v>
      </c>
      <c r="Q7" s="67">
        <f>'TỒN KHO'!I9</f>
        <v>271</v>
      </c>
      <c r="R7" s="67">
        <f>'TỒN KHO'!G9</f>
        <v>80</v>
      </c>
      <c r="S7" s="67">
        <f>'TỒN KHO'!H9</f>
        <v>9</v>
      </c>
    </row>
    <row r="8" ht="21.75" customHeight="1">
      <c r="P8" s="68" t="str">
        <f>'TỒN KHO'!C10</f>
        <v>Bút bi Thiên Long</v>
      </c>
      <c r="Q8" s="68">
        <f>'TỒN KHO'!I10</f>
        <v>445</v>
      </c>
      <c r="R8" s="68">
        <f>'TỒN KHO'!G10</f>
        <v>109</v>
      </c>
      <c r="S8" s="68">
        <f>'TỒN KHO'!H10</f>
        <v>14</v>
      </c>
    </row>
    <row r="9">
      <c r="P9" s="68" t="str">
        <f>'TỒN KHO'!C11</f>
        <v>Hộp đựng tài liệu</v>
      </c>
      <c r="Q9" s="68">
        <f>'TỒN KHO'!I11</f>
        <v>80</v>
      </c>
      <c r="R9" s="68">
        <f>'TỒN KHO'!G11</f>
        <v>0</v>
      </c>
      <c r="S9" s="68">
        <f>'TỒN KHO'!H11</f>
        <v>0</v>
      </c>
    </row>
    <row r="10">
      <c r="P10" s="68" t="str">
        <f>'TỒN KHO'!C12</f>
        <v>Mực in HP 85A</v>
      </c>
      <c r="Q10" s="68">
        <f>'TỒN KHO'!I12</f>
        <v>25</v>
      </c>
      <c r="R10" s="68">
        <f>'TỒN KHO'!G12</f>
        <v>0</v>
      </c>
      <c r="S10" s="68">
        <f>'TỒN KHO'!H12</f>
        <v>0</v>
      </c>
    </row>
    <row r="11">
      <c r="P11" s="68" t="str">
        <f>'TỒN KHO'!C13</f>
        <v>USB Kingston 64GB</v>
      </c>
      <c r="Q11" s="68">
        <f>'TỒN KHO'!I13</f>
        <v>71</v>
      </c>
      <c r="R11" s="68">
        <f>'TỒN KHO'!G13</f>
        <v>11</v>
      </c>
      <c r="S11" s="68">
        <f>'TỒN KHO'!H13</f>
        <v>0</v>
      </c>
    </row>
    <row r="12">
      <c r="P12" s="68" t="str">
        <f>'TỒN KHO'!C14</f>
        <v>Bàn làm việc gỗ</v>
      </c>
      <c r="Q12" s="68">
        <f>'TỒN KHO'!I14</f>
        <v>-15</v>
      </c>
      <c r="R12" s="68">
        <f>'TỒN KHO'!G14</f>
        <v>0</v>
      </c>
      <c r="S12" s="68">
        <f>'TỒN KHO'!H14</f>
        <v>21</v>
      </c>
    </row>
    <row r="13">
      <c r="P13" s="68" t="str">
        <f>'TỒN KHO'!C15</f>
        <v>Ghế văn phòng</v>
      </c>
      <c r="Q13" s="68">
        <f>'TỒN KHO'!I15</f>
        <v>10</v>
      </c>
      <c r="R13" s="68">
        <f>'TỒN KHO'!G15</f>
        <v>0</v>
      </c>
      <c r="S13" s="68">
        <f>'TỒN KHO'!H15</f>
        <v>0</v>
      </c>
    </row>
    <row r="14">
      <c r="P14" s="68" t="str">
        <f>'TỒN KHO'!C16</f>
        <v>Tủ đựng hồ sơ sắt</v>
      </c>
      <c r="Q14" s="68">
        <f>'TỒN KHO'!I16</f>
        <v>4</v>
      </c>
      <c r="R14" s="68">
        <f>'TỒN KHO'!G16</f>
        <v>0</v>
      </c>
      <c r="S14" s="68">
        <f>'TỒN KHO'!H16</f>
        <v>0</v>
      </c>
    </row>
    <row r="15">
      <c r="P15" s="68" t="str">
        <f>'TỒN KHO'!C17</f>
        <v>Bảng trắng từ tính</v>
      </c>
      <c r="Q15" s="68">
        <f>'TỒN KHO'!I17</f>
        <v>8</v>
      </c>
      <c r="R15" s="68">
        <f>'TỒN KHO'!G17</f>
        <v>0</v>
      </c>
      <c r="S15" s="68">
        <f>'TỒN KHO'!H17</f>
        <v>0</v>
      </c>
    </row>
    <row r="16">
      <c r="P16" s="68" t="str">
        <f>'TỒN KHO'!C18</f>
        <v>Nước uống đóng bình</v>
      </c>
      <c r="Q16" s="68">
        <f>'TỒN KHO'!I18</f>
        <v>50</v>
      </c>
      <c r="R16" s="68">
        <f>'TỒN KHO'!G18</f>
        <v>0</v>
      </c>
      <c r="S16" s="68">
        <f>'TỒN KHO'!H18</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K4:L5"/>
    <mergeCell ref="M4:N5"/>
    <mergeCell ref="A1:N1"/>
    <mergeCell ref="A2:N2"/>
    <mergeCell ref="A4:B5"/>
    <mergeCell ref="C4:D5"/>
    <mergeCell ref="E4:F5"/>
    <mergeCell ref="G4:H5"/>
    <mergeCell ref="I4:J5"/>
    <mergeCell ref="A7:B7"/>
    <mergeCell ref="C7:D7"/>
    <mergeCell ref="E7:F7"/>
    <mergeCell ref="G7:H7"/>
    <mergeCell ref="I7:J7"/>
    <mergeCell ref="K7:L7"/>
    <mergeCell ref="M7:N7"/>
    <mergeCell ref="A6:B6"/>
    <mergeCell ref="C6:D6"/>
    <mergeCell ref="E6:F6"/>
    <mergeCell ref="G6:H6"/>
    <mergeCell ref="I6:J6"/>
    <mergeCell ref="K6:L6"/>
    <mergeCell ref="M6:N6"/>
  </mergeCells>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95959"/>
    <pageSetUpPr/>
  </sheetPr>
  <sheetViews>
    <sheetView workbookViewId="0"/>
  </sheetViews>
  <sheetFormatPr customHeight="1" defaultColWidth="14.43" defaultRowHeight="15.0"/>
  <cols>
    <col customWidth="1" min="1" max="1" width="14.0"/>
    <col customWidth="1" min="2" max="2" width="18.0"/>
    <col customWidth="1" min="3" max="4" width="22.0"/>
    <col customWidth="1" min="5" max="6" width="14.0"/>
    <col customWidth="1" min="7" max="26" width="8.71"/>
  </cols>
  <sheetData>
    <row r="1" ht="21.75" customHeight="1">
      <c r="A1" s="62" t="s">
        <v>164</v>
      </c>
      <c r="B1" s="2"/>
      <c r="C1" s="2"/>
      <c r="D1" s="2"/>
      <c r="E1" s="2"/>
      <c r="F1" s="2"/>
    </row>
    <row r="2" ht="21.75" customHeight="1">
      <c r="A2" s="63"/>
    </row>
    <row r="3" ht="21.75" customHeight="1">
      <c r="A3" s="64" t="s">
        <v>167</v>
      </c>
      <c r="B3" s="2"/>
      <c r="C3" s="2"/>
      <c r="D3" s="2"/>
      <c r="E3" s="2"/>
      <c r="F3" s="2"/>
    </row>
    <row r="4" ht="21.75" customHeight="1">
      <c r="A4" s="63" t="s">
        <v>168</v>
      </c>
    </row>
    <row r="5" ht="21.75" customHeight="1">
      <c r="A5" s="63" t="s">
        <v>169</v>
      </c>
    </row>
    <row r="6" ht="21.75" customHeight="1">
      <c r="A6" s="63" t="s">
        <v>170</v>
      </c>
    </row>
    <row r="7" ht="21.75" customHeight="1">
      <c r="A7" s="63" t="s">
        <v>171</v>
      </c>
    </row>
    <row r="8" ht="21.75" customHeight="1">
      <c r="A8" s="63" t="s">
        <v>172</v>
      </c>
    </row>
    <row r="9" ht="21.75" customHeight="1">
      <c r="A9" s="63" t="s">
        <v>173</v>
      </c>
    </row>
    <row r="10" ht="21.75" customHeight="1">
      <c r="A10" s="63"/>
    </row>
    <row r="11" ht="21.75" customHeight="1">
      <c r="A11" s="64" t="s">
        <v>174</v>
      </c>
      <c r="B11" s="2"/>
      <c r="C11" s="2"/>
      <c r="D11" s="2"/>
      <c r="E11" s="2"/>
      <c r="F11" s="2"/>
    </row>
    <row r="12" ht="21.75" customHeight="1">
      <c r="A12" s="63" t="s">
        <v>175</v>
      </c>
    </row>
    <row r="13" ht="21.75" customHeight="1">
      <c r="A13" s="63" t="s">
        <v>176</v>
      </c>
    </row>
    <row r="14" ht="21.75" customHeight="1">
      <c r="A14" s="63" t="s">
        <v>177</v>
      </c>
    </row>
    <row r="15" ht="21.75" customHeight="1">
      <c r="A15" s="63" t="s">
        <v>178</v>
      </c>
    </row>
    <row r="16" ht="21.75" customHeight="1">
      <c r="A16" s="63" t="s">
        <v>179</v>
      </c>
    </row>
    <row r="17" ht="21.75" customHeight="1">
      <c r="A17" s="63"/>
    </row>
    <row r="18" ht="21.75" customHeight="1">
      <c r="A18" s="64" t="s">
        <v>180</v>
      </c>
      <c r="B18" s="2"/>
      <c r="C18" s="2"/>
      <c r="D18" s="2"/>
      <c r="E18" s="2"/>
      <c r="F18" s="2"/>
    </row>
    <row r="19" ht="21.75" customHeight="1">
      <c r="A19" s="63" t="s">
        <v>181</v>
      </c>
    </row>
    <row r="20" ht="21.75" customHeight="1">
      <c r="A20" s="63" t="s">
        <v>182</v>
      </c>
    </row>
    <row r="21" ht="21.75" customHeight="1">
      <c r="A21" s="63" t="s">
        <v>183</v>
      </c>
    </row>
    <row r="22" ht="21.75" customHeight="1">
      <c r="A22" s="63" t="s">
        <v>184</v>
      </c>
    </row>
    <row r="23" ht="21.75" customHeight="1">
      <c r="A23" s="63"/>
    </row>
    <row r="24" ht="21.75" customHeight="1">
      <c r="A24" s="64" t="s">
        <v>185</v>
      </c>
      <c r="B24" s="2"/>
      <c r="C24" s="2"/>
      <c r="D24" s="2"/>
      <c r="E24" s="2"/>
      <c r="F24" s="2"/>
    </row>
    <row r="25" ht="21.75" customHeight="1">
      <c r="A25" s="63" t="s">
        <v>186</v>
      </c>
    </row>
    <row r="26" ht="21.75" customHeight="1">
      <c r="A26" s="63" t="s">
        <v>187</v>
      </c>
    </row>
    <row r="27" ht="21.75" customHeight="1">
      <c r="A27" s="63" t="s">
        <v>188</v>
      </c>
    </row>
    <row r="28" ht="21.75" customHeight="1">
      <c r="A28" s="63" t="s">
        <v>189</v>
      </c>
    </row>
    <row r="29" ht="21.75" customHeight="1">
      <c r="A29" s="63" t="s">
        <v>190</v>
      </c>
    </row>
    <row r="30" ht="48.75" customHeight="1">
      <c r="A30" s="65" t="s">
        <v>191</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
    <mergeCell ref="A1:F1"/>
    <mergeCell ref="A2:F2"/>
    <mergeCell ref="A3:F3"/>
    <mergeCell ref="A4:F4"/>
    <mergeCell ref="A5:F5"/>
    <mergeCell ref="A6:F6"/>
    <mergeCell ref="A7:F7"/>
    <mergeCell ref="A8:F8"/>
    <mergeCell ref="A9:F9"/>
    <mergeCell ref="A10:F10"/>
    <mergeCell ref="A11:F11"/>
    <mergeCell ref="A12:F12"/>
    <mergeCell ref="A13:F13"/>
    <mergeCell ref="A14:F14"/>
    <mergeCell ref="A22:F22"/>
    <mergeCell ref="A23:F23"/>
    <mergeCell ref="A24:F24"/>
    <mergeCell ref="A25:F25"/>
    <mergeCell ref="A26:F26"/>
    <mergeCell ref="A27:F27"/>
    <mergeCell ref="A28:F28"/>
    <mergeCell ref="A29:F29"/>
    <mergeCell ref="A15:F15"/>
    <mergeCell ref="A16:F16"/>
    <mergeCell ref="A17:F17"/>
    <mergeCell ref="A18:F18"/>
    <mergeCell ref="A19:F19"/>
    <mergeCell ref="A20:F20"/>
    <mergeCell ref="A21:F21"/>
  </mergeCells>
  <hyperlinks>
    <hyperlink r:id="rId1" ref="A30"/>
  </hyperlinks>
  <printOptions/>
  <pageMargins bottom="1.0" footer="0.0" header="0.0" left="0.75" right="0.75" top="1.0"/>
  <pageSetup paperSize="9"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2026-05-18T09:24:57Z</dcterms:created>
  <dc:creator>openpyxl</dc:creator>
</cp:coreProperties>
</file>

<file path=docProps/custom.xml><?xml version="1.0" encoding="utf-8"?>
<Properties xmlns="http://schemas.openxmlformats.org/officeDocument/2006/custom-properties" xmlns:vt="http://schemas.openxmlformats.org/officeDocument/2006/docPropsVTypes"/>
</file>